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activeTab="4"/>
  </bookViews>
  <sheets>
    <sheet name="ARQ" sheetId="1" r:id="rId1"/>
    <sheet name="Outros" sheetId="2" r:id="rId2"/>
    <sheet name="AF" sheetId="3" r:id="rId3"/>
    <sheet name="ESG" sheetId="4" r:id="rId4"/>
    <sheet name="ELET" sheetId="5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5" i="4" l="1"/>
  <c r="I54" i="4"/>
  <c r="M20" i="4" l="1"/>
  <c r="M19" i="4"/>
  <c r="M18" i="4"/>
  <c r="M17" i="4"/>
  <c r="M16" i="4"/>
  <c r="M15" i="4"/>
  <c r="M14" i="4"/>
  <c r="M13" i="4"/>
  <c r="M10" i="4"/>
  <c r="M11" i="4"/>
  <c r="M8" i="4"/>
  <c r="M9" i="4"/>
  <c r="E17" i="3"/>
  <c r="E3" i="3" s="1"/>
  <c r="F17" i="3"/>
  <c r="G17" i="3"/>
  <c r="I417" i="1"/>
  <c r="I416" i="1"/>
  <c r="I420" i="1"/>
  <c r="K17" i="4" l="1"/>
  <c r="K16" i="4"/>
  <c r="K20" i="4"/>
  <c r="K19" i="4"/>
  <c r="G18" i="4"/>
  <c r="J18" i="4"/>
  <c r="I15" i="4"/>
  <c r="H15" i="4"/>
  <c r="F15" i="4"/>
  <c r="E15" i="4"/>
  <c r="K15" i="4" s="1"/>
  <c r="J14" i="4"/>
  <c r="I14" i="4"/>
  <c r="H14" i="4"/>
  <c r="G14" i="4"/>
  <c r="F14" i="4"/>
  <c r="E14" i="4"/>
  <c r="K14" i="4" s="1"/>
  <c r="I13" i="4"/>
  <c r="H13" i="4"/>
  <c r="F13" i="4"/>
  <c r="E13" i="4"/>
  <c r="I11" i="4"/>
  <c r="H11" i="4"/>
  <c r="F11" i="4"/>
  <c r="E11" i="4"/>
  <c r="I10" i="4"/>
  <c r="H10" i="4"/>
  <c r="F10" i="4"/>
  <c r="E10" i="4"/>
  <c r="K10" i="4" s="1"/>
  <c r="J9" i="4"/>
  <c r="I9" i="4"/>
  <c r="H9" i="4"/>
  <c r="G9" i="4"/>
  <c r="K9" i="4" s="1"/>
  <c r="I8" i="4"/>
  <c r="H8" i="4"/>
  <c r="F8" i="4"/>
  <c r="E8" i="4"/>
  <c r="K8" i="4" s="1"/>
  <c r="G2" i="4"/>
  <c r="I48" i="4"/>
  <c r="H48" i="4"/>
  <c r="F48" i="4"/>
  <c r="F2" i="4" s="1"/>
  <c r="E48" i="4"/>
  <c r="E2" i="4" s="1"/>
  <c r="J49" i="4"/>
  <c r="I49" i="4"/>
  <c r="H49" i="4"/>
  <c r="F49" i="4"/>
  <c r="E49" i="4"/>
  <c r="G49" i="4"/>
  <c r="I50" i="4"/>
  <c r="H50" i="4"/>
  <c r="F50" i="4"/>
  <c r="E50" i="4"/>
  <c r="K18" i="4" l="1"/>
  <c r="K11" i="4"/>
  <c r="K13" i="4"/>
  <c r="K46" i="4"/>
  <c r="N46" i="4" s="1"/>
  <c r="O46" i="4" s="1"/>
  <c r="H17" i="3"/>
  <c r="AM3" i="5" l="1"/>
  <c r="G11" i="5"/>
  <c r="H10" i="5"/>
  <c r="W3" i="5"/>
  <c r="I10" i="5"/>
  <c r="I11" i="5"/>
  <c r="AJ40" i="5" l="1"/>
  <c r="AJ39" i="5"/>
  <c r="AD40" i="5"/>
  <c r="AD39" i="5"/>
  <c r="AJ38" i="5"/>
  <c r="AD38" i="5"/>
  <c r="AD34" i="5"/>
  <c r="AD33" i="5"/>
  <c r="AD32" i="5"/>
  <c r="AJ34" i="5"/>
  <c r="AJ33" i="5"/>
  <c r="AJ32" i="5"/>
  <c r="AJ30" i="5"/>
  <c r="AJ29" i="5"/>
  <c r="AJ28" i="5"/>
  <c r="AD30" i="5"/>
  <c r="AD29" i="5"/>
  <c r="AD28" i="5"/>
  <c r="AD26" i="5"/>
  <c r="AD25" i="5"/>
  <c r="AD24" i="5"/>
  <c r="AD22" i="5"/>
  <c r="AD21" i="5"/>
  <c r="AD20" i="5"/>
  <c r="AD18" i="5"/>
  <c r="AD17" i="5"/>
  <c r="AD16" i="5"/>
  <c r="AD14" i="5"/>
  <c r="AD13" i="5"/>
  <c r="AD12" i="5"/>
  <c r="AD10" i="5"/>
  <c r="AD9" i="5"/>
  <c r="AD8" i="5"/>
  <c r="AF26" i="5"/>
  <c r="AF25" i="5"/>
  <c r="AF24" i="5"/>
  <c r="AF22" i="5"/>
  <c r="AF21" i="5"/>
  <c r="AF20" i="5"/>
  <c r="AF18" i="5"/>
  <c r="AF17" i="5"/>
  <c r="AF16" i="5"/>
  <c r="AF14" i="5"/>
  <c r="AF13" i="5"/>
  <c r="AF12" i="5"/>
  <c r="AJ10" i="5"/>
  <c r="AJ9" i="5"/>
  <c r="AJ8" i="5"/>
  <c r="AD6" i="5"/>
  <c r="AD5" i="5"/>
  <c r="AJ6" i="5"/>
  <c r="AJ5" i="5"/>
  <c r="AJ4" i="5"/>
  <c r="AK3" i="5" s="1"/>
  <c r="H11" i="5"/>
  <c r="H7" i="5" s="1"/>
  <c r="G7" i="5"/>
  <c r="G3" i="5" s="1"/>
  <c r="F11" i="5"/>
  <c r="F7" i="5" s="1"/>
  <c r="E11" i="5"/>
  <c r="X5" i="5"/>
  <c r="X4" i="5"/>
  <c r="V3" i="5"/>
  <c r="E7" i="5" l="1"/>
  <c r="H5" i="5"/>
  <c r="E3" i="5"/>
  <c r="F3" i="5"/>
  <c r="H3" i="5"/>
  <c r="I3" i="5" s="1"/>
  <c r="I7" i="5"/>
  <c r="H20" i="5"/>
  <c r="G20" i="5"/>
  <c r="F20" i="5"/>
  <c r="E20" i="5"/>
  <c r="I20" i="5" l="1"/>
  <c r="L20" i="5" s="1"/>
  <c r="M20" i="5" s="1"/>
  <c r="I18" i="5"/>
  <c r="L18" i="5" s="1"/>
  <c r="M18" i="5" s="1"/>
  <c r="I16" i="5"/>
  <c r="L16" i="5" s="1"/>
  <c r="M16" i="5" s="1"/>
  <c r="I15" i="5"/>
  <c r="L15" i="5" s="1"/>
  <c r="M15" i="5" s="1"/>
  <c r="I14" i="5"/>
  <c r="L14" i="5" s="1"/>
  <c r="M14" i="5" s="1"/>
  <c r="I13" i="5"/>
  <c r="L13" i="5" s="1"/>
  <c r="M13" i="5" s="1"/>
  <c r="L10" i="5" l="1"/>
  <c r="M10" i="5" s="1"/>
  <c r="X3" i="5"/>
  <c r="Y3" i="5" s="1"/>
  <c r="AN3" i="5"/>
  <c r="AO3" i="5" s="1"/>
  <c r="L11" i="5"/>
  <c r="M11" i="5" s="1"/>
  <c r="I5" i="5" l="1"/>
  <c r="D148" i="1"/>
  <c r="C146" i="1"/>
  <c r="D163" i="1"/>
  <c r="D159" i="1"/>
  <c r="D155" i="1"/>
  <c r="D142" i="1"/>
  <c r="D128" i="1"/>
  <c r="D114" i="1"/>
  <c r="D123" i="1"/>
  <c r="D118" i="1"/>
  <c r="D150" i="1"/>
  <c r="D146" i="1"/>
  <c r="D132" i="1"/>
  <c r="D135" i="1"/>
  <c r="D136" i="1"/>
  <c r="D134" i="1"/>
  <c r="C132" i="1"/>
  <c r="D131" i="1"/>
  <c r="D127" i="1"/>
  <c r="D122" i="1"/>
  <c r="D117" i="1"/>
  <c r="I137" i="1"/>
  <c r="J137" i="1" s="1"/>
  <c r="I121" i="1"/>
  <c r="J121" i="1" s="1"/>
  <c r="D120" i="1"/>
  <c r="I120" i="1" s="1"/>
  <c r="J120" i="1" s="1"/>
  <c r="C123" i="1"/>
  <c r="D113" i="1"/>
  <c r="C7" i="1"/>
  <c r="I7" i="1" s="1"/>
  <c r="J7" i="1" s="1"/>
  <c r="C6" i="1"/>
  <c r="I6" i="1" s="1"/>
  <c r="J6" i="1" s="1"/>
  <c r="C5" i="1"/>
  <c r="I5" i="1" s="1"/>
  <c r="J5" i="1" s="1"/>
  <c r="C4" i="1"/>
  <c r="I4" i="1" s="1"/>
  <c r="J4" i="1" s="1"/>
  <c r="M195" i="1"/>
  <c r="D162" i="1" l="1"/>
  <c r="D158" i="1"/>
  <c r="I164" i="1"/>
  <c r="J164" i="1" s="1"/>
  <c r="I161" i="1"/>
  <c r="J161" i="1" s="1"/>
  <c r="C157" i="1"/>
  <c r="I157" i="1" s="1"/>
  <c r="J157" i="1" s="1"/>
  <c r="D154" i="1"/>
  <c r="I138" i="1"/>
  <c r="J138" i="1" s="1"/>
  <c r="I133" i="1"/>
  <c r="J133" i="1" s="1"/>
  <c r="I130" i="1"/>
  <c r="J130" i="1" s="1"/>
  <c r="I127" i="1"/>
  <c r="J127" i="1" s="1"/>
  <c r="D145" i="1"/>
  <c r="I151" i="1"/>
  <c r="J151" i="1" s="1"/>
  <c r="I147" i="1"/>
  <c r="J147" i="1" s="1"/>
  <c r="I124" i="1"/>
  <c r="J124" i="1" s="1"/>
  <c r="C144" i="1"/>
  <c r="I144" i="1" s="1"/>
  <c r="J144" i="1" s="1"/>
  <c r="D141" i="1"/>
  <c r="I119" i="1"/>
  <c r="J119" i="1" s="1"/>
  <c r="C116" i="1"/>
  <c r="I116" i="1" s="1"/>
  <c r="J116" i="1" s="1"/>
  <c r="I163" i="1"/>
  <c r="J163" i="1" s="1"/>
  <c r="C162" i="1"/>
  <c r="I159" i="1"/>
  <c r="J159" i="1" s="1"/>
  <c r="C158" i="1"/>
  <c r="C156" i="1"/>
  <c r="I156" i="1" s="1"/>
  <c r="J156" i="1" s="1"/>
  <c r="I155" i="1"/>
  <c r="J155" i="1" s="1"/>
  <c r="C154" i="1"/>
  <c r="I150" i="1"/>
  <c r="J150" i="1" s="1"/>
  <c r="C148" i="1"/>
  <c r="I148" i="1" s="1"/>
  <c r="J148" i="1" s="1"/>
  <c r="I146" i="1"/>
  <c r="C145" i="1"/>
  <c r="C143" i="1"/>
  <c r="I143" i="1" s="1"/>
  <c r="J143" i="1" s="1"/>
  <c r="I142" i="1"/>
  <c r="J142" i="1" s="1"/>
  <c r="C141" i="1"/>
  <c r="I136" i="1"/>
  <c r="J136" i="1" s="1"/>
  <c r="I135" i="1"/>
  <c r="J135" i="1" s="1"/>
  <c r="C134" i="1"/>
  <c r="I134" i="1" s="1"/>
  <c r="J134" i="1" s="1"/>
  <c r="I132" i="1"/>
  <c r="J132" i="1" s="1"/>
  <c r="C131" i="1"/>
  <c r="I129" i="1"/>
  <c r="J129" i="1" s="1"/>
  <c r="I128" i="1"/>
  <c r="J128" i="1" s="1"/>
  <c r="I123" i="1"/>
  <c r="J123" i="1" s="1"/>
  <c r="C122" i="1"/>
  <c r="I118" i="1"/>
  <c r="J118" i="1" s="1"/>
  <c r="C117" i="1"/>
  <c r="I117" i="1" s="1"/>
  <c r="J117" i="1" s="1"/>
  <c r="C115" i="1"/>
  <c r="I115" i="1" s="1"/>
  <c r="J115" i="1" s="1"/>
  <c r="I114" i="1"/>
  <c r="J114" i="1" s="1"/>
  <c r="C113" i="1"/>
  <c r="I154" i="1" l="1"/>
  <c r="J154" i="1" s="1"/>
  <c r="J146" i="1"/>
  <c r="I158" i="1"/>
  <c r="J158" i="1" s="1"/>
  <c r="I162" i="1"/>
  <c r="J162" i="1" s="1"/>
  <c r="I131" i="1"/>
  <c r="J131" i="1" s="1"/>
  <c r="I122" i="1"/>
  <c r="J122" i="1" s="1"/>
  <c r="I145" i="1"/>
  <c r="J145" i="1" s="1"/>
  <c r="I141" i="1"/>
  <c r="J141" i="1" s="1"/>
  <c r="I113" i="1"/>
  <c r="I111" i="1" s="1"/>
  <c r="I91" i="1"/>
  <c r="J91" i="1" s="1"/>
  <c r="I81" i="1"/>
  <c r="J81" i="1" s="1"/>
  <c r="I73" i="1"/>
  <c r="J73" i="1" s="1"/>
  <c r="I61" i="1"/>
  <c r="J61" i="1" s="1"/>
  <c r="M53" i="1"/>
  <c r="C88" i="1"/>
  <c r="I88" i="1" s="1"/>
  <c r="J88" i="1" s="1"/>
  <c r="C86" i="1"/>
  <c r="I86" i="1" s="1"/>
  <c r="J86" i="1" s="1"/>
  <c r="I93" i="1"/>
  <c r="J93" i="1" s="1"/>
  <c r="C92" i="1"/>
  <c r="I92" i="1" s="1"/>
  <c r="J92" i="1" s="1"/>
  <c r="I90" i="1"/>
  <c r="J90" i="1" s="1"/>
  <c r="C89" i="1"/>
  <c r="I89" i="1" s="1"/>
  <c r="J89" i="1" s="1"/>
  <c r="I87" i="1"/>
  <c r="J87" i="1" s="1"/>
  <c r="C82" i="1"/>
  <c r="I82" i="1" s="1"/>
  <c r="J82" i="1" s="1"/>
  <c r="C79" i="1"/>
  <c r="I79" i="1" s="1"/>
  <c r="J79" i="1" s="1"/>
  <c r="C78" i="1"/>
  <c r="I78" i="1" s="1"/>
  <c r="J78" i="1" s="1"/>
  <c r="C76" i="1"/>
  <c r="I76" i="1" s="1"/>
  <c r="J76" i="1" s="1"/>
  <c r="I83" i="1"/>
  <c r="J83" i="1" s="1"/>
  <c r="I80" i="1"/>
  <c r="J80" i="1" s="1"/>
  <c r="I77" i="1"/>
  <c r="J77" i="1" s="1"/>
  <c r="I72" i="1"/>
  <c r="J72" i="1" s="1"/>
  <c r="C71" i="1"/>
  <c r="I71" i="1" s="1"/>
  <c r="J71" i="1" s="1"/>
  <c r="I70" i="1"/>
  <c r="J70" i="1" s="1"/>
  <c r="C69" i="1"/>
  <c r="I69" i="1" s="1"/>
  <c r="J69" i="1" s="1"/>
  <c r="I68" i="1"/>
  <c r="J68" i="1" s="1"/>
  <c r="I67" i="1"/>
  <c r="J67" i="1" s="1"/>
  <c r="I66" i="1"/>
  <c r="J66" i="1" s="1"/>
  <c r="C62" i="1"/>
  <c r="I62" i="1" s="1"/>
  <c r="J62" i="1" s="1"/>
  <c r="I63" i="1"/>
  <c r="J63" i="1" s="1"/>
  <c r="I60" i="1"/>
  <c r="J60" i="1" s="1"/>
  <c r="C59" i="1"/>
  <c r="I59" i="1" s="1"/>
  <c r="J59" i="1" s="1"/>
  <c r="C58" i="1"/>
  <c r="I58" i="1" s="1"/>
  <c r="J58" i="1" s="1"/>
  <c r="I57" i="1"/>
  <c r="J57" i="1" s="1"/>
  <c r="C56" i="1"/>
  <c r="I56" i="1" s="1"/>
  <c r="J56" i="1" s="1"/>
  <c r="I110" i="1"/>
  <c r="J110" i="1" s="1"/>
  <c r="I109" i="1"/>
  <c r="J109" i="1" s="1"/>
  <c r="I106" i="1"/>
  <c r="J106" i="1" s="1"/>
  <c r="I105" i="1"/>
  <c r="J105" i="1" s="1"/>
  <c r="I102" i="1"/>
  <c r="J102" i="1" s="1"/>
  <c r="I101" i="1"/>
  <c r="J101" i="1" s="1"/>
  <c r="I98" i="1"/>
  <c r="J98" i="1" s="1"/>
  <c r="I97" i="1"/>
  <c r="J97" i="1" s="1"/>
  <c r="I3" i="1" l="1"/>
  <c r="J113" i="1"/>
  <c r="J111" i="1" s="1"/>
  <c r="N111" i="1"/>
  <c r="J53" i="1"/>
  <c r="I53" i="1"/>
  <c r="J3" i="1" l="1"/>
  <c r="N3" i="1"/>
  <c r="O3" i="1" s="1"/>
  <c r="I180" i="1"/>
  <c r="J180" i="1" s="1"/>
  <c r="I176" i="1"/>
  <c r="J176" i="1" s="1"/>
  <c r="I172" i="1"/>
  <c r="J172" i="1" s="1"/>
  <c r="I168" i="1"/>
  <c r="J168" i="1" s="1"/>
  <c r="C178" i="1"/>
  <c r="D178" i="1"/>
  <c r="I179" i="1"/>
  <c r="J179" i="1" s="1"/>
  <c r="C174" i="1"/>
  <c r="D174" i="1"/>
  <c r="I175" i="1"/>
  <c r="J175" i="1" s="1"/>
  <c r="C170" i="1"/>
  <c r="I170" i="1" s="1"/>
  <c r="J170" i="1" s="1"/>
  <c r="I171" i="1"/>
  <c r="J171" i="1" s="1"/>
  <c r="I167" i="1"/>
  <c r="J167" i="1" s="1"/>
  <c r="C166" i="1"/>
  <c r="I166" i="1" s="1"/>
  <c r="J166" i="1" s="1"/>
  <c r="M50" i="1"/>
  <c r="G10" i="1"/>
  <c r="G9" i="1"/>
  <c r="M8" i="1"/>
  <c r="G15" i="1"/>
  <c r="M11" i="1"/>
  <c r="G14" i="1"/>
  <c r="I14" i="1" s="1"/>
  <c r="J14" i="1" s="1"/>
  <c r="G13" i="1"/>
  <c r="I13" i="1" s="1"/>
  <c r="J13" i="1" s="1"/>
  <c r="I52" i="1"/>
  <c r="J52" i="1" s="1"/>
  <c r="I51" i="1"/>
  <c r="G30" i="1"/>
  <c r="N30" i="1" s="1"/>
  <c r="O30" i="1" s="1"/>
  <c r="M24" i="1"/>
  <c r="J30" i="1" l="1"/>
  <c r="I50" i="1"/>
  <c r="I174" i="1"/>
  <c r="J174" i="1" s="1"/>
  <c r="I178" i="1"/>
  <c r="J178" i="1" s="1"/>
  <c r="G11" i="1"/>
  <c r="J51" i="1"/>
  <c r="G28" i="1"/>
  <c r="I165" i="1" l="1"/>
  <c r="N165" i="1" s="1"/>
  <c r="J165" i="1"/>
  <c r="J28" i="1"/>
  <c r="G29" i="1"/>
  <c r="G32" i="1"/>
  <c r="G31" i="1"/>
  <c r="O111" i="1" l="1"/>
  <c r="N28" i="1"/>
  <c r="O28" i="1" s="1"/>
  <c r="N32" i="1" l="1"/>
  <c r="O32" i="1" s="1"/>
  <c r="J32" i="1"/>
  <c r="G23" i="1"/>
  <c r="G22" i="1" s="1"/>
  <c r="M17" i="1"/>
  <c r="G17" i="1"/>
  <c r="N21" i="1" l="1"/>
  <c r="O21" i="1" s="1"/>
  <c r="J21" i="1"/>
  <c r="G26" i="1"/>
  <c r="G27" i="1"/>
  <c r="J27" i="1" s="1"/>
  <c r="N27" i="1" l="1"/>
  <c r="O27" i="1" s="1"/>
  <c r="G24" i="1"/>
  <c r="N24" i="1" s="1"/>
  <c r="M33" i="1"/>
  <c r="I48" i="1"/>
  <c r="J48" i="1" s="1"/>
  <c r="I44" i="1"/>
  <c r="J44" i="1" s="1"/>
  <c r="I40" i="1"/>
  <c r="J40" i="1" s="1"/>
  <c r="I36" i="1"/>
  <c r="J36" i="1" s="1"/>
  <c r="C35" i="1"/>
  <c r="I35" i="1" s="1"/>
  <c r="C47" i="1"/>
  <c r="I47" i="1" s="1"/>
  <c r="J47" i="1" s="1"/>
  <c r="C43" i="1"/>
  <c r="I43" i="1" s="1"/>
  <c r="J43" i="1" s="1"/>
  <c r="C39" i="1"/>
  <c r="I39" i="1" s="1"/>
  <c r="J39" i="1" s="1"/>
  <c r="I235" i="1"/>
  <c r="H234" i="1"/>
  <c r="I234" i="1" s="1"/>
  <c r="C233" i="1"/>
  <c r="I233" i="1" s="1"/>
  <c r="C232" i="1"/>
  <c r="I232" i="1" s="1"/>
  <c r="C231" i="1"/>
  <c r="I231" i="1" s="1"/>
  <c r="I230" i="1"/>
  <c r="C229" i="1"/>
  <c r="I229" i="1" s="1"/>
  <c r="I228" i="1"/>
  <c r="C227" i="1"/>
  <c r="I227" i="1" s="1"/>
  <c r="I225" i="1"/>
  <c r="H224" i="1"/>
  <c r="I224" i="1" s="1"/>
  <c r="C223" i="1"/>
  <c r="I223" i="1" s="1"/>
  <c r="C222" i="1"/>
  <c r="I222" i="1" s="1"/>
  <c r="C221" i="1"/>
  <c r="I221" i="1" s="1"/>
  <c r="I220" i="1"/>
  <c r="I219" i="1"/>
  <c r="I218" i="1"/>
  <c r="I217" i="1"/>
  <c r="I215" i="1"/>
  <c r="H214" i="1"/>
  <c r="I214" i="1" s="1"/>
  <c r="C213" i="1"/>
  <c r="I213" i="1" s="1"/>
  <c r="C212" i="1"/>
  <c r="I212" i="1" s="1"/>
  <c r="C211" i="1"/>
  <c r="I211" i="1" s="1"/>
  <c r="I210" i="1"/>
  <c r="C209" i="1"/>
  <c r="I209" i="1" s="1"/>
  <c r="I208" i="1"/>
  <c r="C207" i="1"/>
  <c r="I207" i="1" s="1"/>
  <c r="I205" i="1"/>
  <c r="H204" i="1"/>
  <c r="I204" i="1" s="1"/>
  <c r="C203" i="1"/>
  <c r="I203" i="1" s="1"/>
  <c r="C202" i="1"/>
  <c r="I202" i="1" s="1"/>
  <c r="C201" i="1"/>
  <c r="I201" i="1" s="1"/>
  <c r="I200" i="1"/>
  <c r="I199" i="1"/>
  <c r="I198" i="1"/>
  <c r="I197" i="1"/>
  <c r="I33" i="1" l="1"/>
  <c r="J35" i="1"/>
  <c r="J33" i="1" s="1"/>
  <c r="I195" i="1"/>
  <c r="I391" i="1"/>
  <c r="C394" i="1"/>
  <c r="I394" i="1" s="1"/>
  <c r="I408" i="1"/>
  <c r="C407" i="1"/>
  <c r="I407" i="1" s="1"/>
  <c r="I411" i="1"/>
  <c r="I410" i="1"/>
  <c r="I409" i="1"/>
  <c r="I403" i="1"/>
  <c r="I402" i="1"/>
  <c r="I400" i="1"/>
  <c r="I404" i="1"/>
  <c r="I401" i="1"/>
  <c r="I399" i="1"/>
  <c r="I396" i="1"/>
  <c r="I395" i="1"/>
  <c r="I390" i="1"/>
  <c r="I389" i="1"/>
  <c r="C388" i="1"/>
  <c r="I388" i="1" s="1"/>
  <c r="I386" i="1" l="1"/>
  <c r="N386" i="1" s="1"/>
  <c r="O386" i="1" s="1"/>
  <c r="I194" i="1"/>
  <c r="H193" i="1"/>
  <c r="I193" i="1" s="1"/>
  <c r="H191" i="1"/>
  <c r="I191" i="1" s="1"/>
  <c r="I192" i="1"/>
  <c r="C242" i="1"/>
  <c r="C245" i="1"/>
  <c r="C248" i="1"/>
  <c r="D248" i="1"/>
  <c r="D245" i="1"/>
  <c r="D242" i="1"/>
  <c r="C239" i="1"/>
  <c r="D239" i="1"/>
  <c r="G507" i="1"/>
  <c r="G502" i="1"/>
  <c r="G497" i="1"/>
  <c r="G492" i="1"/>
  <c r="G487" i="1"/>
  <c r="G482" i="1"/>
  <c r="G477" i="1"/>
  <c r="G472" i="1"/>
  <c r="I242" i="1" l="1"/>
  <c r="I190" i="1"/>
  <c r="I248" i="1"/>
  <c r="I239" i="1"/>
  <c r="I245" i="1"/>
  <c r="G467" i="1"/>
  <c r="G462" i="1"/>
  <c r="G457" i="1"/>
  <c r="G452" i="1"/>
  <c r="G447" i="1"/>
  <c r="G442" i="1"/>
  <c r="G437" i="1"/>
  <c r="G432" i="1"/>
  <c r="G427" i="1"/>
  <c r="I287" i="1"/>
  <c r="I278" i="1"/>
  <c r="I269" i="1"/>
  <c r="H263" i="1"/>
  <c r="I263" i="1" s="1"/>
  <c r="I262" i="1"/>
  <c r="H286" i="1"/>
  <c r="I286" i="1" s="1"/>
  <c r="C285" i="1"/>
  <c r="I285" i="1" s="1"/>
  <c r="C284" i="1"/>
  <c r="I284" i="1" s="1"/>
  <c r="C283" i="1"/>
  <c r="I283" i="1" s="1"/>
  <c r="I282" i="1"/>
  <c r="C281" i="1"/>
  <c r="I281" i="1" s="1"/>
  <c r="H279" i="1"/>
  <c r="I279" i="1" s="1"/>
  <c r="C277" i="1"/>
  <c r="I277" i="1" s="1"/>
  <c r="C276" i="1"/>
  <c r="I276" i="1" s="1"/>
  <c r="I275" i="1"/>
  <c r="I274" i="1"/>
  <c r="I273" i="1"/>
  <c r="H271" i="1"/>
  <c r="I271" i="1" s="1"/>
  <c r="C270" i="1"/>
  <c r="I270" i="1" s="1"/>
  <c r="C268" i="1"/>
  <c r="I268" i="1" s="1"/>
  <c r="C267" i="1"/>
  <c r="I267" i="1" s="1"/>
  <c r="I266" i="1"/>
  <c r="C265" i="1"/>
  <c r="I265" i="1" s="1"/>
  <c r="C261" i="1"/>
  <c r="I261" i="1" s="1"/>
  <c r="C260" i="1"/>
  <c r="I260" i="1" s="1"/>
  <c r="I259" i="1"/>
  <c r="I258" i="1"/>
  <c r="I257" i="1"/>
  <c r="I249" i="1"/>
  <c r="I246" i="1"/>
  <c r="I243" i="1"/>
  <c r="I240" i="1"/>
  <c r="I250" i="1"/>
  <c r="I247" i="1"/>
  <c r="I244" i="1"/>
  <c r="I241" i="1"/>
  <c r="M353" i="1"/>
  <c r="O352" i="1"/>
  <c r="O351" i="1"/>
  <c r="O350" i="1"/>
  <c r="O349" i="1"/>
  <c r="O348" i="1"/>
  <c r="O347" i="1"/>
  <c r="O346" i="1"/>
  <c r="H366" i="1"/>
  <c r="H360" i="1"/>
  <c r="H353" i="1"/>
  <c r="H346" i="1"/>
  <c r="O345" i="1"/>
  <c r="O344" i="1"/>
  <c r="O343" i="1"/>
  <c r="O342" i="1"/>
  <c r="O341" i="1"/>
  <c r="O340" i="1"/>
  <c r="H365" i="1"/>
  <c r="H364" i="1"/>
  <c r="H363" i="1"/>
  <c r="H362" i="1"/>
  <c r="H359" i="1"/>
  <c r="H358" i="1"/>
  <c r="H357" i="1"/>
  <c r="H356" i="1"/>
  <c r="H355" i="1"/>
  <c r="H352" i="1"/>
  <c r="H351" i="1"/>
  <c r="H350" i="1"/>
  <c r="H349" i="1"/>
  <c r="H348" i="1"/>
  <c r="H344" i="1"/>
  <c r="H345" i="1"/>
  <c r="H343" i="1"/>
  <c r="H341" i="1"/>
  <c r="H342" i="1"/>
  <c r="C333" i="1"/>
  <c r="I333" i="1" s="1"/>
  <c r="C323" i="1"/>
  <c r="I323" i="1" s="1"/>
  <c r="C313" i="1"/>
  <c r="I313" i="1" s="1"/>
  <c r="C303" i="1"/>
  <c r="I303" i="1" s="1"/>
  <c r="I327" i="1"/>
  <c r="H326" i="1"/>
  <c r="I326" i="1" s="1"/>
  <c r="I337" i="1"/>
  <c r="H336" i="1"/>
  <c r="I336" i="1" s="1"/>
  <c r="I317" i="1"/>
  <c r="H316" i="1"/>
  <c r="I316" i="1" s="1"/>
  <c r="I307" i="1"/>
  <c r="H306" i="1"/>
  <c r="I306" i="1" s="1"/>
  <c r="C311" i="1"/>
  <c r="I311" i="1" s="1"/>
  <c r="C325" i="1"/>
  <c r="I325" i="1" s="1"/>
  <c r="C324" i="1"/>
  <c r="I324" i="1" s="1"/>
  <c r="C335" i="1"/>
  <c r="I335" i="1" s="1"/>
  <c r="C334" i="1"/>
  <c r="I334" i="1" s="1"/>
  <c r="I332" i="1"/>
  <c r="C331" i="1"/>
  <c r="I331" i="1" s="1"/>
  <c r="I330" i="1"/>
  <c r="C329" i="1"/>
  <c r="I329" i="1" s="1"/>
  <c r="I322" i="1"/>
  <c r="I321" i="1"/>
  <c r="I320" i="1"/>
  <c r="I319" i="1"/>
  <c r="C309" i="1"/>
  <c r="I309" i="1" s="1"/>
  <c r="C315" i="1"/>
  <c r="I315" i="1" s="1"/>
  <c r="C314" i="1"/>
  <c r="I314" i="1" s="1"/>
  <c r="I312" i="1"/>
  <c r="I310" i="1"/>
  <c r="C305" i="1"/>
  <c r="C304" i="1"/>
  <c r="I302" i="1"/>
  <c r="I300" i="1"/>
  <c r="N292" i="1"/>
  <c r="O292" i="1" s="1"/>
  <c r="M290" i="1" s="1"/>
  <c r="D294" i="1"/>
  <c r="C294" i="1"/>
  <c r="C293" i="1"/>
  <c r="I293" i="1" s="1"/>
  <c r="D292" i="1"/>
  <c r="C292" i="1"/>
  <c r="D291" i="1"/>
  <c r="C291" i="1"/>
  <c r="D376" i="1"/>
  <c r="I377" i="1"/>
  <c r="C376" i="1"/>
  <c r="I375" i="1"/>
  <c r="C374" i="1"/>
  <c r="I373" i="1"/>
  <c r="C372" i="1"/>
  <c r="D372" i="1"/>
  <c r="I371" i="1"/>
  <c r="C370" i="1"/>
  <c r="D370" i="1"/>
  <c r="H413" i="1"/>
  <c r="I413" i="1" s="1"/>
  <c r="G417" i="1"/>
  <c r="G416" i="1"/>
  <c r="O353" i="1" l="1"/>
  <c r="M338" i="1" s="1"/>
  <c r="I292" i="1"/>
  <c r="I376" i="1"/>
  <c r="I238" i="1" l="1"/>
  <c r="N238" i="1" s="1"/>
  <c r="O238" i="1" s="1"/>
  <c r="I424" i="1" l="1"/>
  <c r="I423" i="1"/>
  <c r="I422" i="1"/>
  <c r="I2" i="4" l="1"/>
  <c r="H2" i="4"/>
  <c r="J3" i="4"/>
  <c r="I3" i="4"/>
  <c r="H3" i="4"/>
  <c r="G3" i="4"/>
  <c r="F3" i="4"/>
  <c r="E3" i="4"/>
  <c r="E4" i="4"/>
  <c r="I4" i="4"/>
  <c r="H4" i="4"/>
  <c r="F4" i="4"/>
  <c r="J5" i="4"/>
  <c r="G5" i="4"/>
  <c r="J4" i="4"/>
  <c r="G4" i="4"/>
  <c r="J2" i="4"/>
  <c r="I51" i="4"/>
  <c r="I5" i="4" s="1"/>
  <c r="H51" i="4"/>
  <c r="H5" i="4" s="1"/>
  <c r="F51" i="4"/>
  <c r="F5" i="4" s="1"/>
  <c r="E51" i="4"/>
  <c r="J30" i="4"/>
  <c r="I30" i="4"/>
  <c r="H30" i="4"/>
  <c r="G30" i="4"/>
  <c r="F30" i="4"/>
  <c r="E30" i="4"/>
  <c r="J29" i="4"/>
  <c r="I29" i="4"/>
  <c r="H29" i="4"/>
  <c r="G29" i="4"/>
  <c r="F29" i="4"/>
  <c r="E29" i="4"/>
  <c r="K43" i="4"/>
  <c r="K23" i="4"/>
  <c r="K45" i="4"/>
  <c r="K44" i="4"/>
  <c r="K42" i="4"/>
  <c r="K41" i="4"/>
  <c r="K40" i="4"/>
  <c r="K39" i="4"/>
  <c r="K38" i="4"/>
  <c r="K37" i="4"/>
  <c r="K36" i="4"/>
  <c r="K35" i="4"/>
  <c r="K34" i="4"/>
  <c r="K33" i="4"/>
  <c r="K32" i="4"/>
  <c r="K31" i="4"/>
  <c r="K28" i="4"/>
  <c r="K27" i="4"/>
  <c r="K26" i="4"/>
  <c r="I11" i="3"/>
  <c r="K51" i="4" l="1"/>
  <c r="E5" i="4"/>
  <c r="K49" i="4"/>
  <c r="K48" i="4"/>
  <c r="K50" i="4"/>
  <c r="K30" i="4"/>
  <c r="K29" i="4"/>
  <c r="N45" i="4" l="1"/>
  <c r="O45" i="4" s="1"/>
  <c r="N38" i="4"/>
  <c r="O38" i="4" s="1"/>
  <c r="G3" i="3" l="1"/>
  <c r="F3" i="3" l="1"/>
  <c r="I3" i="3" s="1"/>
  <c r="F6" i="3"/>
  <c r="H6" i="3"/>
  <c r="H3" i="3"/>
  <c r="E6" i="3"/>
  <c r="G6" i="3"/>
  <c r="I6" i="3" l="1"/>
  <c r="K6" i="3" s="1"/>
  <c r="N256" i="1" l="1"/>
  <c r="M253" i="1" s="1"/>
  <c r="K5" i="4" l="1"/>
  <c r="K4" i="4"/>
  <c r="K3" i="4"/>
  <c r="K2" i="4"/>
  <c r="M2" i="4" l="1"/>
  <c r="N43" i="4"/>
  <c r="O43" i="4" s="1"/>
  <c r="N42" i="4"/>
  <c r="O42" i="4" s="1"/>
  <c r="N44" i="4"/>
  <c r="O44" i="4" s="1"/>
  <c r="N41" i="4"/>
  <c r="O41" i="4" s="1"/>
  <c r="N40" i="4"/>
  <c r="O40" i="4" s="1"/>
  <c r="N39" i="4"/>
  <c r="O39" i="4" s="1"/>
  <c r="N51" i="4"/>
  <c r="O51" i="4" s="1"/>
  <c r="N50" i="4"/>
  <c r="O50" i="4" s="1"/>
  <c r="N49" i="4"/>
  <c r="O49" i="4" s="1"/>
  <c r="N37" i="4"/>
  <c r="O37" i="4" s="1"/>
  <c r="N36" i="4"/>
  <c r="O36" i="4" s="1"/>
  <c r="N35" i="4"/>
  <c r="O35" i="4" s="1"/>
  <c r="N34" i="4"/>
  <c r="O34" i="4" s="1"/>
  <c r="N33" i="4"/>
  <c r="O33" i="4" s="1"/>
  <c r="N32" i="4"/>
  <c r="O32" i="4" s="1"/>
  <c r="N31" i="4"/>
  <c r="O31" i="4" s="1"/>
  <c r="N30" i="4"/>
  <c r="O30" i="4" s="1"/>
  <c r="N29" i="4"/>
  <c r="O29" i="4" s="1"/>
  <c r="N28" i="4"/>
  <c r="O28" i="4" s="1"/>
  <c r="N27" i="4"/>
  <c r="O27" i="4" s="1"/>
  <c r="N26" i="4"/>
  <c r="O26" i="4" s="1"/>
  <c r="N23" i="4"/>
  <c r="O23" i="4" s="1"/>
  <c r="N48" i="4" l="1"/>
  <c r="O48" i="4" s="1"/>
  <c r="I15" i="3" l="1"/>
  <c r="I13" i="3"/>
  <c r="I12" i="3"/>
  <c r="L12" i="3" s="1"/>
  <c r="M12" i="3" s="1"/>
  <c r="I10" i="3"/>
  <c r="I9" i="3"/>
  <c r="K3" i="3" l="1"/>
  <c r="I17" i="3"/>
  <c r="L17" i="3" s="1"/>
  <c r="M17" i="3" s="1"/>
  <c r="L15" i="3"/>
  <c r="M15" i="3" s="1"/>
  <c r="L13" i="3"/>
  <c r="M13" i="3" s="1"/>
  <c r="L11" i="3"/>
  <c r="M11" i="3" s="1"/>
  <c r="L10" i="3"/>
  <c r="M10" i="3" s="1"/>
  <c r="L9" i="3" l="1"/>
  <c r="M9" i="3" s="1"/>
  <c r="D7" i="2" l="1"/>
  <c r="C7" i="2"/>
  <c r="D5" i="2"/>
  <c r="C5" i="2"/>
  <c r="D3" i="2"/>
  <c r="C3" i="2"/>
  <c r="G7" i="2" l="1"/>
  <c r="G6" i="2" s="1"/>
  <c r="G5" i="2"/>
  <c r="G4" i="2" s="1"/>
  <c r="G3" i="2"/>
  <c r="G2" i="2" s="1"/>
  <c r="N25" i="1" l="1"/>
  <c r="O25" i="1" s="1"/>
  <c r="J25" i="1"/>
  <c r="N29" i="1"/>
  <c r="O29" i="1" s="1"/>
  <c r="J29" i="1"/>
  <c r="N31" i="1"/>
  <c r="O31" i="1" s="1"/>
  <c r="N26" i="1"/>
  <c r="O26" i="1" s="1"/>
  <c r="N20" i="1"/>
  <c r="O20" i="1" s="1"/>
  <c r="N19" i="1"/>
  <c r="O19" i="1" s="1"/>
  <c r="N18" i="1"/>
  <c r="O18" i="1" s="1"/>
  <c r="G420" i="1"/>
  <c r="N33" i="1" l="1"/>
  <c r="G33" i="1"/>
  <c r="J19" i="1"/>
  <c r="O33" i="1" l="1"/>
  <c r="I12" i="1"/>
  <c r="J12" i="1" s="1"/>
  <c r="I187" i="1" l="1"/>
  <c r="I294" i="1"/>
  <c r="I254" i="1" l="1"/>
  <c r="I253" i="1" s="1"/>
  <c r="I291" i="1"/>
  <c r="I290" i="1" s="1"/>
  <c r="N290" i="1" s="1"/>
  <c r="H340" i="1"/>
  <c r="H338" i="1" s="1"/>
  <c r="I299" i="1"/>
  <c r="I305" i="1"/>
  <c r="I304" i="1"/>
  <c r="I301" i="1"/>
  <c r="I297" i="1" l="1"/>
  <c r="I370" i="1" l="1"/>
  <c r="I374" i="1"/>
  <c r="I372" i="1"/>
  <c r="N417" i="1"/>
  <c r="O417" i="1" s="1"/>
  <c r="N507" i="1"/>
  <c r="O507" i="1" s="1"/>
  <c r="N452" i="1"/>
  <c r="O452" i="1" s="1"/>
  <c r="N502" i="1"/>
  <c r="O502" i="1" s="1"/>
  <c r="N497" i="1"/>
  <c r="O497" i="1" s="1"/>
  <c r="N492" i="1"/>
  <c r="O492" i="1" s="1"/>
  <c r="N487" i="1"/>
  <c r="O487" i="1" s="1"/>
  <c r="N482" i="1"/>
  <c r="O482" i="1" s="1"/>
  <c r="N477" i="1"/>
  <c r="O477" i="1" s="1"/>
  <c r="N472" i="1"/>
  <c r="O472" i="1" s="1"/>
  <c r="N467" i="1"/>
  <c r="O467" i="1" s="1"/>
  <c r="N462" i="1"/>
  <c r="O462" i="1" s="1"/>
  <c r="N457" i="1"/>
  <c r="O457" i="1" s="1"/>
  <c r="N447" i="1"/>
  <c r="O447" i="1" s="1"/>
  <c r="N442" i="1"/>
  <c r="O442" i="1" s="1"/>
  <c r="N437" i="1"/>
  <c r="O437" i="1" s="1"/>
  <c r="N432" i="1"/>
  <c r="O432" i="1" s="1"/>
  <c r="N427" i="1"/>
  <c r="I369" i="1" l="1"/>
  <c r="I383" i="1" s="1"/>
  <c r="O427" i="1"/>
  <c r="I421" i="1"/>
  <c r="N420" i="1"/>
  <c r="O420" i="1" s="1"/>
  <c r="M382" i="1"/>
  <c r="M380" i="1"/>
  <c r="N416" i="1"/>
  <c r="O416" i="1" s="1"/>
  <c r="H412" i="1"/>
  <c r="I186" i="1"/>
  <c r="I185" i="1" s="1"/>
  <c r="N369" i="1" l="1"/>
  <c r="N195" i="1"/>
  <c r="O195" i="1" s="1"/>
  <c r="O290" i="1"/>
  <c r="N253" i="1"/>
  <c r="O253" i="1" s="1"/>
  <c r="I381" i="1"/>
  <c r="I380" i="1" s="1"/>
  <c r="N380" i="1" s="1"/>
  <c r="O380" i="1" s="1"/>
  <c r="I382" i="1"/>
  <c r="N382" i="1" s="1"/>
  <c r="O382" i="1" s="1"/>
  <c r="N190" i="1"/>
  <c r="O190" i="1" s="1"/>
  <c r="J26" i="1"/>
  <c r="J31" i="1"/>
  <c r="J23" i="1"/>
  <c r="J22" i="1" s="1"/>
  <c r="J20" i="1"/>
  <c r="J18" i="1"/>
  <c r="I16" i="1"/>
  <c r="J16" i="1" s="1"/>
  <c r="I15" i="1"/>
  <c r="J15" i="1" s="1"/>
  <c r="N11" i="1"/>
  <c r="O11" i="1" s="1"/>
  <c r="I10" i="1"/>
  <c r="J10" i="1" s="1"/>
  <c r="I9" i="1"/>
  <c r="J9" i="1" s="1"/>
  <c r="G8" i="1"/>
  <c r="N8" i="1" s="1"/>
  <c r="O8" i="1" s="1"/>
  <c r="J11" i="1" l="1"/>
  <c r="J24" i="1"/>
  <c r="N50" i="1"/>
  <c r="I412" i="1"/>
  <c r="N412" i="1" s="1"/>
  <c r="O412" i="1" s="1"/>
  <c r="J50" i="1"/>
  <c r="O369" i="1"/>
  <c r="N297" i="1"/>
  <c r="O297" i="1" s="1"/>
  <c r="N185" i="1"/>
  <c r="O185" i="1" s="1"/>
  <c r="O165" i="1"/>
  <c r="N53" i="1"/>
  <c r="O53" i="1" s="1"/>
  <c r="N17" i="1"/>
  <c r="O17" i="1" s="1"/>
  <c r="N22" i="1"/>
  <c r="O22" i="1" s="1"/>
  <c r="O24" i="1"/>
  <c r="J8" i="1"/>
  <c r="J181" i="1" s="1"/>
  <c r="J17" i="1"/>
  <c r="J182" i="1" l="1"/>
  <c r="O50" i="1"/>
  <c r="N338" i="1" l="1"/>
  <c r="O338" i="1" s="1"/>
</calcChain>
</file>

<file path=xl/sharedStrings.xml><?xml version="1.0" encoding="utf-8"?>
<sst xmlns="http://schemas.openxmlformats.org/spreadsheetml/2006/main" count="1412" uniqueCount="310">
  <si>
    <t>REMOÇÕES E DEMOLIÇÕES</t>
  </si>
  <si>
    <t>Unid.</t>
  </si>
  <si>
    <t>C (m)</t>
  </si>
  <si>
    <t>L (m)</t>
  </si>
  <si>
    <t>e (m)</t>
  </si>
  <si>
    <t>h (m)</t>
  </si>
  <si>
    <t>P (m)</t>
  </si>
  <si>
    <t>A (m²)</t>
  </si>
  <si>
    <t>V (m³)</t>
  </si>
  <si>
    <t>Considerações</t>
  </si>
  <si>
    <t>m²</t>
  </si>
  <si>
    <t>REMOÇÃO DE TOMADAS E/OU INTERRUPTORES</t>
  </si>
  <si>
    <t>Tomadas</t>
  </si>
  <si>
    <t>Interruptores</t>
  </si>
  <si>
    <t>REMOÇÃO DE LUMINÁRIAS</t>
  </si>
  <si>
    <t>Embutir</t>
  </si>
  <si>
    <t>Plafonier</t>
  </si>
  <si>
    <t>Tubular</t>
  </si>
  <si>
    <t>E</t>
  </si>
  <si>
    <t>W</t>
  </si>
  <si>
    <t>REMOÇÃO DE LOUÇAS SANITÁRIAS</t>
  </si>
  <si>
    <t>Lavatórios</t>
  </si>
  <si>
    <t>Bacia sanitária</t>
  </si>
  <si>
    <t>REMOÇÃO DE METAIS SANITÁRIOS</t>
  </si>
  <si>
    <t>Torneiras</t>
  </si>
  <si>
    <t>REMOÇÃO DE ACESSÓRIOS</t>
  </si>
  <si>
    <t>Espelhos</t>
  </si>
  <si>
    <t>DEMOLIÇÃO DE ALVENARIA DE BLOCO CERÂMICO</t>
  </si>
  <si>
    <t>S</t>
  </si>
  <si>
    <t>DEMOLIÇÃO DE REVESTIMENTO CERÂMICO - PISO E PAREDES</t>
  </si>
  <si>
    <t>Considerado que martelete removerá também argamassa de assentamento. 
Não consideradas quantidades das paredes que serão completamente demolidas.</t>
  </si>
  <si>
    <t>N</t>
  </si>
  <si>
    <t>DEMOLIÇÃO DE ARGAMASSAS (ATÉ 5CM) - CONTRAPISO</t>
  </si>
  <si>
    <t>m</t>
  </si>
  <si>
    <t>CARGA MANUAL DE ENTULHO</t>
  </si>
  <si>
    <t>empolamento de 35%</t>
  </si>
  <si>
    <t>TRANSPORTE COM CAMINHÃO BASCULANTE DE 6M³</t>
  </si>
  <si>
    <t>m2</t>
  </si>
  <si>
    <t>Tabelado</t>
  </si>
  <si>
    <t>Variação</t>
  </si>
  <si>
    <t>Ralos</t>
  </si>
  <si>
    <t xml:space="preserve"> </t>
  </si>
  <si>
    <t>Porta papel toalha</t>
  </si>
  <si>
    <t>m3</t>
  </si>
  <si>
    <t>PAREDES</t>
  </si>
  <si>
    <t>Janela</t>
  </si>
  <si>
    <t>PISOS</t>
  </si>
  <si>
    <t>m3/km</t>
  </si>
  <si>
    <t>ALVENARIAS</t>
  </si>
  <si>
    <t>IMPERMEABILIZAÇÃO</t>
  </si>
  <si>
    <t>APLICAÇÃO DE CHAPISCO</t>
  </si>
  <si>
    <t>APLICAÇÃO MASSA ÚNICA</t>
  </si>
  <si>
    <t>Paredes novas: TODAS.
Paredes com cerâmica: TODAS 
Demais paredes: onde era cerâmica e será aplicada pintura</t>
  </si>
  <si>
    <t>IMPERMEABILIZAÇÃO ARGAMASSA POLIMÉRICA</t>
  </si>
  <si>
    <t>Somente paredes novas.</t>
  </si>
  <si>
    <t>REVESTIMENTOS ARGAMASSADOS - PAREDE</t>
  </si>
  <si>
    <t>REVESTIMENTOS ARGAMASSADOS - PISO</t>
  </si>
  <si>
    <t>FORRO</t>
  </si>
  <si>
    <t>h(m)</t>
  </si>
  <si>
    <t>FORRO MODULADO REMOVÍVEL EM FIBRAMINERAL</t>
  </si>
  <si>
    <t>REVESTIMENTO DECORATIVO - PAREDE</t>
  </si>
  <si>
    <t>[PAREDE 1] REVESTIMENTO CERÂMICO BRANCO MATE RETIFICADO 30X60CM (PORTOBELLO CETIM BIANCO)</t>
  </si>
  <si>
    <t>REVESTIMENTO DECORATIVO - PISO</t>
  </si>
  <si>
    <t>PEDRAS</t>
  </si>
  <si>
    <t>SOLEIRA GRANITO CINZA ANDORINHA e=2,0CM</t>
  </si>
  <si>
    <t>ESQUADRIAS (PORTAS E JANELAS)</t>
  </si>
  <si>
    <t>H (m)</t>
  </si>
  <si>
    <t>ESPELHOS</t>
  </si>
  <si>
    <t>RESERVA TÉCNICA</t>
  </si>
  <si>
    <t>Espelho E1 (50x90cm)</t>
  </si>
  <si>
    <t>LOUÇAS METAIS E ACESSÓRIOS</t>
  </si>
  <si>
    <t>H1 - DISPENSER PAPEL TOALHA TIPO BOBINA AUTOCORTE BRANCO (TRILHA EXCELÊNCIA, LINHA EXACCTA, E-DPCM007)</t>
  </si>
  <si>
    <t>H2 - TORNEIRA DE USO GERAL CROMADA, COM ACABAMENTO POLIDO (DOCOL 1130 NOVA PERTUTTI 00903706)</t>
  </si>
  <si>
    <t>H3 - TORNEIRA MESA CROMADA, COM ACABAMENTO POLIDO E FECHAMENTO AUTOMÁTICO DOCOL PRESSMATIC 17160606) + ENGATE PVC</t>
  </si>
  <si>
    <t>H5 - DISPENSER SABONETE LÍQUIDO 800ML BRANCO (PREMISSE CLEAN VELOX C19428)</t>
  </si>
  <si>
    <t>H7 - BACIA SANITÁRIA EM LOUÇA BRANCA (CELITE AZÁLEA) + CAIXA ACOPLADA DE ACIONAMENTO DUO (CELITE ECOFLUSH 3/6L) + ASSENTO PLÁSTICO SEM ABERTURA FRONTAL (CELITE CONFORT) + ENGATE PVC</t>
  </si>
  <si>
    <t>H8 - DUCHA HIGIÊNICA CROMADA (DOCOL PRIMOR 00673206)</t>
  </si>
  <si>
    <t>H9 - DISPENSER PAPEL HIGIÊNICO INOX COM TAMPA (KITBRAS STANDER 010149)</t>
  </si>
  <si>
    <t>H10 - BARRA DE APOIO RETA EM AÇO INOX ESCOVADO (DOCOL BENEFITE 00963716) - C=80CM, HORIZONTAL</t>
  </si>
  <si>
    <t>H11 - BACIA SANITÁRIA PARA PCD EM LOUÇA BRANCA (CELITE ACESSO CONFORT) + CAIXA ACOPLADA DE ACIONAMENTO DUO (CELITE ECOFLUSH 3/6L) + ASSENTO PLÁSTICO SEM ABERTURA FRONTAL (CELITE CONFORT) + ENGATE PVC</t>
  </si>
  <si>
    <t>H12 - BARRA DE APOIO RETA EM AÇO INOX ESCOVADO (DOCOL BENEFITE 00963716) - C=70CM, VERTICAL</t>
  </si>
  <si>
    <t>H13 - BARRA DE APOIO U EM AÇO INOX ESCOVADO (DOCOL BENEFITE 00974916) - C=24X25CM</t>
  </si>
  <si>
    <t>H14 - LAVATÓRIO (DECA L.510.17 Aspen) + COLUNA SUSPENSA (DECA  C.510.17 Vogue Plus) + VÁLVULA + SIFÃO PVC</t>
  </si>
  <si>
    <t>H4 - LAVATÓRIO (DECA IZY L.915.17) + COLUNA (DECA ASPEN/IXY C.10.17) + VÁLVULA + SIFÃO PVC</t>
  </si>
  <si>
    <t>H15 - BARRA DE APOIO RETA EM AÇO INOX ESCOVADO (DOCOL BENEFITE 00963316) - C=40CM, VERTICAL</t>
  </si>
  <si>
    <t>H18 - ACABAMENTO PARA REGISTRO DE PRESSÃO E REGISTRO GAVETA (1/2" E 3/4"), TIPO VOLANTE DE TRÊS PONTAS, CROMADO (DOCOL NOVA PERTUTTI)</t>
  </si>
  <si>
    <t>H19 - GRELHA E PORTA GRELHA EM AÇO INOX PARA RALO SIFONADO 150X150</t>
  </si>
  <si>
    <t>H6 - MICTÓRIO (DECA M.715.17) + VALVULA DE DESCARGA</t>
  </si>
  <si>
    <t>[PAREDE 1] PROTEÇÃO DE CANTOS COM CANTONEIRA PLÁSTICA</t>
  </si>
  <si>
    <t>áreas molhadas</t>
  </si>
  <si>
    <t>Coluna de lavatório</t>
  </si>
  <si>
    <t>Considerado que martelete removerá também piso em granitina</t>
  </si>
  <si>
    <t>Registros</t>
  </si>
  <si>
    <t>L1</t>
  </si>
  <si>
    <t>R1</t>
  </si>
  <si>
    <t>PROJETOS AS BUILT</t>
  </si>
  <si>
    <t>ARQUITETURA</t>
  </si>
  <si>
    <t>ELÉTRICO</t>
  </si>
  <si>
    <t>HIDROSSANITÁRIO</t>
  </si>
  <si>
    <t>Toda a área</t>
  </si>
  <si>
    <t>Remoção de tubulação</t>
  </si>
  <si>
    <t>Total</t>
  </si>
  <si>
    <t>OBS.:</t>
  </si>
  <si>
    <t>TUBOS</t>
  </si>
  <si>
    <t>PVC soldável</t>
  </si>
  <si>
    <t>+10%</t>
  </si>
  <si>
    <t>para considerar conexões</t>
  </si>
  <si>
    <t>25mm</t>
  </si>
  <si>
    <t>Rasgo/chumbamento</t>
  </si>
  <si>
    <t>Conexões</t>
  </si>
  <si>
    <t>Var.</t>
  </si>
  <si>
    <t>A1</t>
  </si>
  <si>
    <t>Adaptador bolsa e rosca PVC marrom</t>
  </si>
  <si>
    <t>25x3/4"</t>
  </si>
  <si>
    <t>A2</t>
  </si>
  <si>
    <t>J90° c/ bucha de latão PVC azul</t>
  </si>
  <si>
    <t>25x1/2"</t>
  </si>
  <si>
    <t>A3</t>
  </si>
  <si>
    <t>J90° PVC marrom</t>
  </si>
  <si>
    <t>A6</t>
  </si>
  <si>
    <t>Tê PVC marrom</t>
  </si>
  <si>
    <t>Válvulas</t>
  </si>
  <si>
    <t>base de RG</t>
  </si>
  <si>
    <t>3/4"</t>
  </si>
  <si>
    <t>Tubos</t>
  </si>
  <si>
    <t>A5</t>
  </si>
  <si>
    <t>Tê c/ bucha de latão PVC azul</t>
  </si>
  <si>
    <t>Subtotal</t>
  </si>
  <si>
    <t>PVC Branco Normal</t>
  </si>
  <si>
    <t>40 mm</t>
  </si>
  <si>
    <t>50 mm</t>
  </si>
  <si>
    <t>100 mm</t>
  </si>
  <si>
    <t>150 mm</t>
  </si>
  <si>
    <t>100mm</t>
  </si>
  <si>
    <t>Caixas e Ralos</t>
  </si>
  <si>
    <t>C2</t>
  </si>
  <si>
    <t>CS - 7 entradas, ralo quadrado</t>
  </si>
  <si>
    <t xml:space="preserve">150X150X50MM </t>
  </si>
  <si>
    <t>E1</t>
  </si>
  <si>
    <t>TV PVC Branco Normal</t>
  </si>
  <si>
    <t>E2</t>
  </si>
  <si>
    <t>Tê PVC Branco Normal</t>
  </si>
  <si>
    <t>50x50</t>
  </si>
  <si>
    <t>E3</t>
  </si>
  <si>
    <t>Adaptador de saída BS PVC Branco Normal</t>
  </si>
  <si>
    <t>150mm</t>
  </si>
  <si>
    <t>E4</t>
  </si>
  <si>
    <t>Anel borracha</t>
  </si>
  <si>
    <t>E5</t>
  </si>
  <si>
    <t>E6</t>
  </si>
  <si>
    <t>J45° PVC Branco Normal</t>
  </si>
  <si>
    <t>E7</t>
  </si>
  <si>
    <t>E8</t>
  </si>
  <si>
    <t>E9</t>
  </si>
  <si>
    <t>J90° PVC Branco Normal (com anel)</t>
  </si>
  <si>
    <t>E10</t>
  </si>
  <si>
    <t>J90° PVC Branco Normal</t>
  </si>
  <si>
    <t>E11</t>
  </si>
  <si>
    <t>E12</t>
  </si>
  <si>
    <t>Junção 45° PVC Branco Normal</t>
  </si>
  <si>
    <t>100x50</t>
  </si>
  <si>
    <t>E14</t>
  </si>
  <si>
    <t>100x100</t>
  </si>
  <si>
    <t>E15</t>
  </si>
  <si>
    <t>Luva Simples PVC Branco Normal</t>
  </si>
  <si>
    <t>E16</t>
  </si>
  <si>
    <t>Redução Excêntrica PVC Branco Normal</t>
  </si>
  <si>
    <t>50x40</t>
  </si>
  <si>
    <t>CAP</t>
  </si>
  <si>
    <t>Tê de redução PVC Branco Normal</t>
  </si>
  <si>
    <t>E19</t>
  </si>
  <si>
    <t>E18</t>
  </si>
  <si>
    <t>E23</t>
  </si>
  <si>
    <t>Outros</t>
  </si>
  <si>
    <t>jusante de RP e ambos os lados de RG</t>
  </si>
  <si>
    <t>Parede</t>
  </si>
  <si>
    <t>Piso</t>
  </si>
  <si>
    <t>*embutido</t>
  </si>
  <si>
    <t>E13</t>
  </si>
  <si>
    <t>E24</t>
  </si>
  <si>
    <t>40x40</t>
  </si>
  <si>
    <t>Fixação</t>
  </si>
  <si>
    <t>Fixação Horizontal</t>
  </si>
  <si>
    <t>Fixação Vertical</t>
  </si>
  <si>
    <t>FIXAÇÃO HZ</t>
  </si>
  <si>
    <t>FIXAÇÃO VT</t>
  </si>
  <si>
    <t>50MM</t>
  </si>
  <si>
    <t>A (m2)</t>
  </si>
  <si>
    <t>vedação de furos com PU</t>
  </si>
  <si>
    <t>impermeabilização para os TVs (primer + manta)</t>
  </si>
  <si>
    <t>40MM</t>
  </si>
  <si>
    <t>RASGO/CHUMBAMENTO</t>
  </si>
  <si>
    <t>IS Masc. NE</t>
  </si>
  <si>
    <t>IS Fem. NE</t>
  </si>
  <si>
    <t>IS Masc. SW</t>
  </si>
  <si>
    <t>IS Fem. SW</t>
  </si>
  <si>
    <t>P4 (60X180) EM LAMINADO MELAMINICO ESTRUTURAL BRANCO MATE - E = 10MM</t>
  </si>
  <si>
    <t>P7 (80X180) EM LAMINADO MELAMINICO ESTRUTURAL BRANCO MATE - E = 10MM</t>
  </si>
  <si>
    <t>Portas existentes</t>
  </si>
  <si>
    <t>Mureta</t>
  </si>
  <si>
    <t>Porta</t>
  </si>
  <si>
    <t>Mureta - laterais</t>
  </si>
  <si>
    <t>Mureta - topo</t>
  </si>
  <si>
    <t>Complemento - janela</t>
  </si>
  <si>
    <t>Complemento - dente da cortina</t>
  </si>
  <si>
    <t>Mureta - topos maiores</t>
  </si>
  <si>
    <t>Mureta - topos menores</t>
  </si>
  <si>
    <t>Divisórias - BS</t>
  </si>
  <si>
    <t>Divisórias - MIC</t>
  </si>
  <si>
    <t>Complemento - Soleira</t>
  </si>
  <si>
    <t xml:space="preserve">CONTRAPISO - ÁREA MOLHADA </t>
  </si>
  <si>
    <t>ALVENARIA DE 9CM</t>
  </si>
  <si>
    <t>DIVISÓRIA GRANITO CINZA ANDORINHA e=2,5CM</t>
  </si>
  <si>
    <t>Frontais</t>
  </si>
  <si>
    <t>P4 (60x180)</t>
  </si>
  <si>
    <t>Intermediárias</t>
  </si>
  <si>
    <t>Mictórios</t>
  </si>
  <si>
    <t>P7 (80x180)</t>
  </si>
  <si>
    <t>REMOÇÃO DE DIVISÓRIA (inclusive suas portas)</t>
  </si>
  <si>
    <t>Frontal</t>
  </si>
  <si>
    <t>Intermediária</t>
  </si>
  <si>
    <t>Valvula de descarga</t>
  </si>
  <si>
    <t>Mictório</t>
  </si>
  <si>
    <t>Sabonete Líquido</t>
  </si>
  <si>
    <t>Ducha higiênica</t>
  </si>
  <si>
    <t>Porta papel higiênico de embutir</t>
  </si>
  <si>
    <t>Mureta IS Masc. SW</t>
  </si>
  <si>
    <t>Mureta IS Fem. SW</t>
  </si>
  <si>
    <t>Embutir com canaleta</t>
  </si>
  <si>
    <t>Soleira</t>
  </si>
  <si>
    <t>RODAPÉS</t>
  </si>
  <si>
    <t>REMOÇÃO DE FORRO</t>
  </si>
  <si>
    <t>Demolição de ver. cerâmico (parede)</t>
  </si>
  <si>
    <t>Complemento - Mureta (laterais)</t>
  </si>
  <si>
    <t>REMOÇÃO DE PINTURA</t>
  </si>
  <si>
    <t>Complemento - Janela</t>
  </si>
  <si>
    <t>Demolido</t>
  </si>
  <si>
    <t>Empolamento =</t>
  </si>
  <si>
    <t>DMT [Km] =</t>
  </si>
  <si>
    <t>Complemento - Mureta (topo)</t>
  </si>
  <si>
    <t>Eletrodutos 25mm [mm]</t>
  </si>
  <si>
    <t>Cabos 2,5mm²</t>
  </si>
  <si>
    <t>Eletrodutos</t>
  </si>
  <si>
    <t>conexões e curvas</t>
  </si>
  <si>
    <t>(F + N + T + Re) Iluminação</t>
  </si>
  <si>
    <t>F</t>
  </si>
  <si>
    <t>15% p/ curvas e conexões</t>
  </si>
  <si>
    <t>EE1</t>
  </si>
  <si>
    <t>Eletrodutos flexíveis</t>
  </si>
  <si>
    <t>Fixação horizontal</t>
  </si>
  <si>
    <t>T</t>
  </si>
  <si>
    <t>EA1</t>
  </si>
  <si>
    <t>Eletroduto flexível corrugado, PVC amarelo</t>
  </si>
  <si>
    <t>Re-a</t>
  </si>
  <si>
    <t>Materiais e componentes</t>
  </si>
  <si>
    <t>C1</t>
  </si>
  <si>
    <t>Caixa de luz de embutir, PVC amarelo</t>
  </si>
  <si>
    <t>4"x2"</t>
  </si>
  <si>
    <t>Interruptor simples, 10A 250V, 1 tecla, 4"x2"</t>
  </si>
  <si>
    <t>1S</t>
  </si>
  <si>
    <t>Plugue macho + Plugue fêmea, 10A 250V</t>
  </si>
  <si>
    <t>2P+T</t>
  </si>
  <si>
    <t>Tomada, 10A 250V, 1 módulo, 4"x2"</t>
  </si>
  <si>
    <t>1x(2P+T)</t>
  </si>
  <si>
    <t>Luminárias</t>
  </si>
  <si>
    <t>Re-b</t>
  </si>
  <si>
    <t>IL1</t>
  </si>
  <si>
    <t>Painel LED embutir 40W 4000K 4000lm</t>
  </si>
  <si>
    <t>620x620mm</t>
  </si>
  <si>
    <t>15% curvas e conexões</t>
  </si>
  <si>
    <t>Re-c</t>
  </si>
  <si>
    <t>Cabos</t>
  </si>
  <si>
    <t>PP1</t>
  </si>
  <si>
    <t>3x2,5mm²</t>
  </si>
  <si>
    <t>Aparente</t>
  </si>
  <si>
    <t>Re-d</t>
  </si>
  <si>
    <t>Embutido</t>
  </si>
  <si>
    <t>Eletroduto</t>
  </si>
  <si>
    <t>Circ. 2</t>
  </si>
  <si>
    <t>(F + N + T) TUG</t>
  </si>
  <si>
    <t>Cx. Luz</t>
  </si>
  <si>
    <t>Masc. NE</t>
  </si>
  <si>
    <t>Fem. NE</t>
  </si>
  <si>
    <t>Masc. SW</t>
  </si>
  <si>
    <t>Fem. SW</t>
  </si>
  <si>
    <t>Somente espelho</t>
  </si>
  <si>
    <t>Demais tomadas e interruptores existentes.</t>
  </si>
  <si>
    <t>IS masculina NE</t>
  </si>
  <si>
    <t>IS feminina NE</t>
  </si>
  <si>
    <t>IS feminina SW</t>
  </si>
  <si>
    <t>IS masculina SW</t>
  </si>
  <si>
    <t>Cabo PP 3x2,5mm² 750V preto (alça de 26cm)</t>
  </si>
  <si>
    <t>*Demais existentes.</t>
  </si>
  <si>
    <t>Circ. 1 e 2</t>
  </si>
  <si>
    <t>Nova Tomada</t>
  </si>
  <si>
    <t>*Apenas alimentação das IL1</t>
  </si>
  <si>
    <t>*Apenas alimentação da nova tomada.</t>
  </si>
  <si>
    <t>10% curvas e conexões</t>
  </si>
  <si>
    <t>IS FEM. NE</t>
  </si>
  <si>
    <t>IS MASC. NE</t>
  </si>
  <si>
    <t>IS FEM. SW</t>
  </si>
  <si>
    <t>IS MASC. SW</t>
  </si>
  <si>
    <t>Vent.NE</t>
  </si>
  <si>
    <t>Vent.SW</t>
  </si>
  <si>
    <t>E25</t>
  </si>
  <si>
    <t>VENT. SW</t>
  </si>
  <si>
    <t>VENT. NE</t>
  </si>
  <si>
    <t>Rasgo e chumbamento</t>
  </si>
  <si>
    <t>[PISO 1] REVESTIMENTO CERÂMICO PORCELANATO NATURAL RETIFICADO CINZA 60X60CM (PORTOBELLO MINERAL TÉCNICA PORTLAND)</t>
  </si>
  <si>
    <t>DN25mm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</si>
</sst>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0.000"/>
    <numFmt numFmtId="165" formatCode="0.0"/>
    <numFmt numFmtId="166" formatCode="0.0000"/>
    <numFmt numFmtId="167" formatCode="#,##0.0"/>
    <numFmt numFmtId="168" formatCode="#,##0.00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0"/>
      <color theme="4" tint="-0.499984740745262"/>
      <name val="Arial"/>
      <family val="2"/>
    </font>
    <font>
      <sz val="10"/>
      <color rgb="FFC00000"/>
      <name val="Arial"/>
      <family val="2"/>
    </font>
    <font>
      <sz val="11"/>
      <color rgb="FFC00000"/>
      <name val="Calibri"/>
      <family val="2"/>
      <scheme val="minor"/>
    </font>
    <font>
      <b/>
      <sz val="10"/>
      <color theme="4" tint="-0.499984740745262"/>
      <name val="Arial"/>
      <family val="2"/>
    </font>
    <font>
      <sz val="11"/>
      <name val="Calibri"/>
      <family val="2"/>
      <scheme val="minor"/>
    </font>
    <font>
      <sz val="10"/>
      <color rgb="FF00B050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8"/>
      <name val="Arial"/>
      <family val="2"/>
    </font>
    <font>
      <b/>
      <sz val="11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b/>
      <sz val="11"/>
      <name val="Calibri Light"/>
      <family val="2"/>
      <scheme val="major"/>
    </font>
    <font>
      <sz val="11"/>
      <name val="Calibri Light"/>
      <family val="2"/>
      <scheme val="major"/>
    </font>
    <font>
      <b/>
      <sz val="10"/>
      <name val="Calibri Light"/>
      <family val="2"/>
      <scheme val="major"/>
    </font>
    <font>
      <sz val="10"/>
      <name val="Calibri Light"/>
      <family val="2"/>
      <scheme val="major"/>
    </font>
    <font>
      <i/>
      <sz val="11"/>
      <name val="Calibri Light"/>
      <family val="2"/>
      <scheme val="major"/>
    </font>
    <font>
      <sz val="10"/>
      <color theme="1"/>
      <name val="Calibri Light"/>
      <family val="2"/>
      <scheme val="major"/>
    </font>
  </fonts>
  <fills count="27">
    <fill>
      <patternFill patternType="none"/>
    </fill>
    <fill>
      <patternFill patternType="gray125"/>
    </fill>
    <fill>
      <patternFill patternType="solid">
        <fgColor theme="8" tint="0.59999389629810485"/>
        <bgColor rgb="FFFFFFFF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rgb="FFFFFFFF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8" tint="0.39997558519241921"/>
        <bgColor rgb="FFFFFFFF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39997558519241921"/>
        <bgColor rgb="FFFFFFFF"/>
      </patternFill>
    </fill>
    <fill>
      <patternFill patternType="solid">
        <fgColor theme="8" tint="0.79998168889431442"/>
        <bgColor rgb="FFFFFFFF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79998168889431442"/>
        <bgColor rgb="FFFFFFFF"/>
      </patternFill>
    </fill>
    <fill>
      <patternFill patternType="solid">
        <fgColor theme="9" tint="0.79998168889431442"/>
        <bgColor rgb="FFFFFFFF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2" tint="-9.9978637043366805E-2"/>
        <bgColor rgb="FFFFFFFF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C5C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C5C5"/>
        <bgColor rgb="FFFFFFFF"/>
      </patternFill>
    </fill>
  </fills>
  <borders count="7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623">
    <xf numFmtId="0" fontId="0" fillId="0" borderId="0" xfId="0"/>
    <xf numFmtId="0" fontId="0" fillId="4" borderId="10" xfId="0" applyFill="1" applyBorder="1" applyAlignment="1">
      <alignment horizontal="left" vertical="center" wrapText="1"/>
    </xf>
    <xf numFmtId="3" fontId="4" fillId="7" borderId="7" xfId="0" applyNumberFormat="1" applyFont="1" applyFill="1" applyBorder="1" applyAlignment="1">
      <alignment horizontal="center" vertical="center"/>
    </xf>
    <xf numFmtId="2" fontId="0" fillId="8" borderId="8" xfId="0" applyNumberFormat="1" applyFill="1" applyBorder="1" applyAlignment="1">
      <alignment horizontal="center" vertical="center"/>
    </xf>
    <xf numFmtId="0" fontId="0" fillId="8" borderId="9" xfId="0" applyFill="1" applyBorder="1" applyAlignment="1">
      <alignment horizontal="center" vertical="center"/>
    </xf>
    <xf numFmtId="0" fontId="0" fillId="8" borderId="8" xfId="0" applyFill="1" applyBorder="1" applyAlignment="1">
      <alignment horizontal="center" vertical="center"/>
    </xf>
    <xf numFmtId="0" fontId="0" fillId="0" borderId="0" xfId="0" applyAlignment="1"/>
    <xf numFmtId="0" fontId="3" fillId="2" borderId="2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" xfId="0" applyNumberFormat="1" applyFont="1" applyFill="1" applyBorder="1" applyAlignment="1">
      <alignment horizontal="center" vertical="center"/>
    </xf>
    <xf numFmtId="4" fontId="3" fillId="2" borderId="5" xfId="0" applyNumberFormat="1" applyFont="1" applyFill="1" applyBorder="1" applyAlignment="1">
      <alignment horizontal="center" vertical="center"/>
    </xf>
    <xf numFmtId="3" fontId="4" fillId="3" borderId="7" xfId="0" applyNumberFormat="1" applyFon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164" fontId="0" fillId="4" borderId="8" xfId="0" applyNumberFormat="1" applyFill="1" applyBorder="1" applyAlignment="1">
      <alignment horizontal="center" vertical="center"/>
    </xf>
    <xf numFmtId="2" fontId="0" fillId="4" borderId="9" xfId="0" applyNumberFormat="1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2" fontId="2" fillId="5" borderId="8" xfId="0" applyNumberFormat="1" applyFont="1" applyFill="1" applyBorder="1" applyAlignment="1">
      <alignment horizontal="center" vertical="center"/>
    </xf>
    <xf numFmtId="2" fontId="2" fillId="6" borderId="8" xfId="0" applyNumberFormat="1" applyFont="1" applyFill="1" applyBorder="1" applyAlignment="1">
      <alignment horizontal="center" vertical="center"/>
    </xf>
    <xf numFmtId="0" fontId="0" fillId="4" borderId="10" xfId="0" applyFill="1" applyBorder="1" applyAlignment="1">
      <alignment horizontal="left" vertical="center"/>
    </xf>
    <xf numFmtId="1" fontId="2" fillId="5" borderId="9" xfId="0" applyNumberFormat="1" applyFont="1" applyFill="1" applyBorder="1" applyAlignment="1">
      <alignment horizontal="center" vertical="center"/>
    </xf>
    <xf numFmtId="0" fontId="5" fillId="7" borderId="6" xfId="0" applyFont="1" applyFill="1" applyBorder="1" applyAlignment="1">
      <alignment horizontal="right" vertical="center"/>
    </xf>
    <xf numFmtId="0" fontId="0" fillId="8" borderId="10" xfId="0" applyFill="1" applyBorder="1" applyAlignment="1">
      <alignment horizontal="left" vertical="center"/>
    </xf>
    <xf numFmtId="2" fontId="0" fillId="8" borderId="9" xfId="0" applyNumberFormat="1" applyFill="1" applyBorder="1" applyAlignment="1">
      <alignment horizontal="center" vertical="center"/>
    </xf>
    <xf numFmtId="1" fontId="0" fillId="8" borderId="9" xfId="0" applyNumberFormat="1" applyFill="1" applyBorder="1" applyAlignment="1">
      <alignment horizontal="center" vertical="center"/>
    </xf>
    <xf numFmtId="164" fontId="0" fillId="8" borderId="8" xfId="0" applyNumberFormat="1" applyFill="1" applyBorder="1" applyAlignment="1">
      <alignment horizontal="center" vertical="center"/>
    </xf>
    <xf numFmtId="2" fontId="0" fillId="10" borderId="8" xfId="0" applyNumberFormat="1" applyFont="1" applyFill="1" applyBorder="1" applyAlignment="1">
      <alignment horizontal="center" vertical="center"/>
    </xf>
    <xf numFmtId="1" fontId="0" fillId="10" borderId="9" xfId="0" applyNumberFormat="1" applyFont="1" applyFill="1" applyBorder="1" applyAlignment="1">
      <alignment horizontal="center" vertical="center"/>
    </xf>
    <xf numFmtId="2" fontId="7" fillId="10" borderId="8" xfId="0" applyNumberFormat="1" applyFont="1" applyFill="1" applyBorder="1" applyAlignment="1">
      <alignment horizontal="center" vertical="center"/>
    </xf>
    <xf numFmtId="0" fontId="6" fillId="9" borderId="6" xfId="0" applyFont="1" applyFill="1" applyBorder="1" applyAlignment="1">
      <alignment horizontal="right" vertical="center"/>
    </xf>
    <xf numFmtId="3" fontId="4" fillId="9" borderId="7" xfId="0" applyNumberFormat="1" applyFont="1" applyFill="1" applyBorder="1" applyAlignment="1">
      <alignment horizontal="center" vertical="center"/>
    </xf>
    <xf numFmtId="0" fontId="0" fillId="10" borderId="10" xfId="0" applyFont="1" applyFill="1" applyBorder="1" applyAlignment="1">
      <alignment horizontal="left" vertical="center"/>
    </xf>
    <xf numFmtId="3" fontId="4" fillId="3" borderId="12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center" vertical="center"/>
    </xf>
    <xf numFmtId="2" fontId="9" fillId="4" borderId="14" xfId="0" applyNumberFormat="1" applyFont="1" applyFill="1" applyBorder="1" applyAlignment="1">
      <alignment horizontal="center" vertical="center"/>
    </xf>
    <xf numFmtId="0" fontId="9" fillId="4" borderId="13" xfId="0" applyFont="1" applyFill="1" applyBorder="1" applyAlignment="1">
      <alignment horizontal="center" vertical="center"/>
    </xf>
    <xf numFmtId="2" fontId="2" fillId="6" borderId="13" xfId="0" applyNumberFormat="1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left" vertical="center"/>
    </xf>
    <xf numFmtId="0" fontId="3" fillId="3" borderId="16" xfId="0" applyFont="1" applyFill="1" applyBorder="1" applyAlignment="1">
      <alignment vertical="center"/>
    </xf>
    <xf numFmtId="3" fontId="4" fillId="3" borderId="17" xfId="0" applyNumberFormat="1" applyFont="1" applyFill="1" applyBorder="1" applyAlignment="1">
      <alignment horizontal="center" vertical="center"/>
    </xf>
    <xf numFmtId="2" fontId="9" fillId="4" borderId="18" xfId="0" applyNumberFormat="1" applyFont="1" applyFill="1" applyBorder="1" applyAlignment="1">
      <alignment horizontal="center" vertical="center"/>
    </xf>
    <xf numFmtId="2" fontId="9" fillId="4" borderId="19" xfId="0" applyNumberFormat="1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165" fontId="2" fillId="6" borderId="18" xfId="0" applyNumberFormat="1" applyFont="1" applyFill="1" applyBorder="1" applyAlignment="1">
      <alignment horizontal="center" vertical="center"/>
    </xf>
    <xf numFmtId="0" fontId="9" fillId="4" borderId="20" xfId="0" applyFont="1" applyFill="1" applyBorder="1" applyAlignment="1">
      <alignment horizontal="left" vertical="center"/>
    </xf>
    <xf numFmtId="1" fontId="0" fillId="4" borderId="9" xfId="0" applyNumberForma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4" xfId="0" applyNumberFormat="1" applyFont="1" applyFill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vertical="center" wrapText="1"/>
    </xf>
    <xf numFmtId="2" fontId="0" fillId="4" borderId="8" xfId="0" applyNumberFormat="1" applyFill="1" applyBorder="1" applyAlignment="1">
      <alignment horizontal="center" vertical="center" wrapText="1"/>
    </xf>
    <xf numFmtId="2" fontId="0" fillId="4" borderId="9" xfId="0" applyNumberFormat="1" applyFill="1" applyBorder="1" applyAlignment="1">
      <alignment horizontal="center" vertical="center" wrapText="1"/>
    </xf>
    <xf numFmtId="2" fontId="2" fillId="5" borderId="8" xfId="0" applyNumberFormat="1" applyFont="1" applyFill="1" applyBorder="1" applyAlignment="1">
      <alignment horizontal="center" vertical="center" wrapText="1"/>
    </xf>
    <xf numFmtId="0" fontId="5" fillId="7" borderId="10" xfId="0" applyFont="1" applyFill="1" applyBorder="1" applyAlignment="1">
      <alignment horizontal="right" vertical="center" wrapText="1"/>
    </xf>
    <xf numFmtId="3" fontId="4" fillId="7" borderId="9" xfId="0" applyNumberFormat="1" applyFont="1" applyFill="1" applyBorder="1" applyAlignment="1">
      <alignment horizontal="center" vertical="center" wrapText="1"/>
    </xf>
    <xf numFmtId="2" fontId="0" fillId="8" borderId="8" xfId="0" applyNumberFormat="1" applyFill="1" applyBorder="1" applyAlignment="1">
      <alignment horizontal="center" vertical="center" wrapText="1"/>
    </xf>
    <xf numFmtId="2" fontId="0" fillId="8" borderId="9" xfId="0" applyNumberFormat="1" applyFill="1" applyBorder="1" applyAlignment="1">
      <alignment horizontal="center" vertical="center" wrapText="1"/>
    </xf>
    <xf numFmtId="0" fontId="0" fillId="8" borderId="10" xfId="0" applyFill="1" applyBorder="1" applyAlignment="1">
      <alignment horizontal="left" vertical="center" wrapText="1"/>
    </xf>
    <xf numFmtId="2" fontId="0" fillId="10" borderId="8" xfId="0" applyNumberFormat="1" applyFont="1" applyFill="1" applyBorder="1" applyAlignment="1">
      <alignment horizontal="center" vertical="center" wrapText="1"/>
    </xf>
    <xf numFmtId="0" fontId="0" fillId="10" borderId="8" xfId="0" applyFont="1" applyFill="1" applyBorder="1" applyAlignment="1">
      <alignment horizontal="center" vertical="center" wrapText="1"/>
    </xf>
    <xf numFmtId="2" fontId="7" fillId="10" borderId="8" xfId="0" applyNumberFormat="1" applyFont="1" applyFill="1" applyBorder="1" applyAlignment="1">
      <alignment horizontal="center" vertical="center" wrapText="1"/>
    </xf>
    <xf numFmtId="0" fontId="0" fillId="10" borderId="10" xfId="0" applyFont="1" applyFill="1" applyBorder="1" applyAlignment="1">
      <alignment horizontal="left" vertical="center" wrapText="1"/>
    </xf>
    <xf numFmtId="164" fontId="0" fillId="4" borderId="8" xfId="0" applyNumberFormat="1" applyFill="1" applyBorder="1" applyAlignment="1">
      <alignment horizontal="center" vertical="center" wrapText="1"/>
    </xf>
    <xf numFmtId="164" fontId="0" fillId="8" borderId="8" xfId="0" applyNumberFormat="1" applyFill="1" applyBorder="1" applyAlignment="1">
      <alignment horizontal="center" vertical="center" wrapText="1"/>
    </xf>
    <xf numFmtId="3" fontId="4" fillId="7" borderId="14" xfId="0" applyNumberFormat="1" applyFont="1" applyFill="1" applyBorder="1" applyAlignment="1">
      <alignment horizontal="center" vertical="center" wrapText="1"/>
    </xf>
    <xf numFmtId="2" fontId="0" fillId="8" borderId="13" xfId="0" applyNumberFormat="1" applyFill="1" applyBorder="1" applyAlignment="1">
      <alignment horizontal="center" vertical="center" wrapText="1"/>
    </xf>
    <xf numFmtId="1" fontId="0" fillId="8" borderId="14" xfId="0" applyNumberFormat="1" applyFill="1" applyBorder="1" applyAlignment="1">
      <alignment horizontal="center" vertical="center" wrapText="1"/>
    </xf>
    <xf numFmtId="0" fontId="0" fillId="8" borderId="15" xfId="0" applyFill="1" applyBorder="1" applyAlignment="1">
      <alignment horizontal="left" vertical="center" wrapText="1"/>
    </xf>
    <xf numFmtId="0" fontId="6" fillId="9" borderId="10" xfId="0" applyFont="1" applyFill="1" applyBorder="1" applyAlignment="1">
      <alignment horizontal="right" vertical="center" wrapText="1"/>
    </xf>
    <xf numFmtId="3" fontId="4" fillId="9" borderId="9" xfId="0" applyNumberFormat="1" applyFont="1" applyFill="1" applyBorder="1" applyAlignment="1">
      <alignment horizontal="center" vertical="center" wrapText="1"/>
    </xf>
    <xf numFmtId="1" fontId="0" fillId="10" borderId="9" xfId="0" applyNumberFormat="1" applyFont="1" applyFill="1" applyBorder="1" applyAlignment="1">
      <alignment horizontal="center" vertical="center" wrapText="1"/>
    </xf>
    <xf numFmtId="1" fontId="0" fillId="8" borderId="9" xfId="0" applyNumberFormat="1" applyFill="1" applyBorder="1" applyAlignment="1">
      <alignment horizontal="center" vertical="center" wrapText="1"/>
    </xf>
    <xf numFmtId="0" fontId="0" fillId="8" borderId="8" xfId="0" applyFill="1" applyBorder="1" applyAlignment="1">
      <alignment horizontal="center" vertical="center" wrapText="1"/>
    </xf>
    <xf numFmtId="0" fontId="5" fillId="7" borderId="20" xfId="0" applyFont="1" applyFill="1" applyBorder="1" applyAlignment="1">
      <alignment horizontal="right" vertical="center" wrapText="1"/>
    </xf>
    <xf numFmtId="3" fontId="4" fillId="7" borderId="19" xfId="0" applyNumberFormat="1" applyFont="1" applyFill="1" applyBorder="1" applyAlignment="1">
      <alignment horizontal="center" vertical="center" wrapText="1"/>
    </xf>
    <xf numFmtId="2" fontId="0" fillId="8" borderId="18" xfId="0" applyNumberFormat="1" applyFill="1" applyBorder="1" applyAlignment="1">
      <alignment horizontal="center" vertical="center" wrapText="1"/>
    </xf>
    <xf numFmtId="0" fontId="0" fillId="8" borderId="18" xfId="0" applyFill="1" applyBorder="1" applyAlignment="1">
      <alignment horizontal="center" vertical="center" wrapText="1"/>
    </xf>
    <xf numFmtId="1" fontId="0" fillId="8" borderId="19" xfId="0" applyNumberFormat="1" applyFill="1" applyBorder="1" applyAlignment="1">
      <alignment horizontal="center" vertical="center" wrapText="1"/>
    </xf>
    <xf numFmtId="164" fontId="0" fillId="8" borderId="18" xfId="0" applyNumberFormat="1" applyFill="1" applyBorder="1" applyAlignment="1">
      <alignment horizontal="center" vertical="center" wrapText="1"/>
    </xf>
    <xf numFmtId="0" fontId="0" fillId="8" borderId="20" xfId="0" applyFill="1" applyBorder="1" applyAlignment="1">
      <alignment horizontal="left" vertical="center" wrapText="1"/>
    </xf>
    <xf numFmtId="0" fontId="3" fillId="3" borderId="21" xfId="0" applyFont="1" applyFill="1" applyBorder="1" applyAlignment="1">
      <alignment vertical="center" wrapText="1"/>
    </xf>
    <xf numFmtId="3" fontId="4" fillId="3" borderId="22" xfId="0" applyNumberFormat="1" applyFont="1" applyFill="1" applyBorder="1" applyAlignment="1">
      <alignment horizontal="center" vertical="center" wrapText="1"/>
    </xf>
    <xf numFmtId="2" fontId="0" fillId="4" borderId="23" xfId="0" applyNumberFormat="1" applyFill="1" applyBorder="1" applyAlignment="1">
      <alignment horizontal="center" vertical="center" wrapText="1"/>
    </xf>
    <xf numFmtId="2" fontId="0" fillId="4" borderId="24" xfId="0" applyNumberFormat="1" applyFill="1" applyBorder="1" applyAlignment="1">
      <alignment horizontal="center" vertical="center" wrapText="1"/>
    </xf>
    <xf numFmtId="2" fontId="2" fillId="5" borderId="23" xfId="0" applyNumberFormat="1" applyFont="1" applyFill="1" applyBorder="1" applyAlignment="1">
      <alignment horizontal="center" vertical="center" wrapText="1"/>
    </xf>
    <xf numFmtId="164" fontId="0" fillId="4" borderId="23" xfId="0" applyNumberForma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left" vertical="center" wrapText="1"/>
    </xf>
    <xf numFmtId="0" fontId="8" fillId="7" borderId="10" xfId="0" applyFont="1" applyFill="1" applyBorder="1" applyAlignment="1">
      <alignment horizontal="right" vertical="center" wrapText="1"/>
    </xf>
    <xf numFmtId="0" fontId="10" fillId="7" borderId="10" xfId="0" applyFont="1" applyFill="1" applyBorder="1" applyAlignment="1">
      <alignment horizontal="right" vertical="center" wrapText="1"/>
    </xf>
    <xf numFmtId="0" fontId="3" fillId="3" borderId="6" xfId="0" applyFont="1" applyFill="1" applyBorder="1" applyAlignment="1">
      <alignment vertical="center" wrapText="1"/>
    </xf>
    <xf numFmtId="3" fontId="4" fillId="3" borderId="7" xfId="0" applyNumberFormat="1" applyFont="1" applyFill="1" applyBorder="1" applyAlignment="1">
      <alignment horizontal="center" vertical="center" wrapText="1"/>
    </xf>
    <xf numFmtId="0" fontId="6" fillId="9" borderId="20" xfId="0" applyFont="1" applyFill="1" applyBorder="1" applyAlignment="1">
      <alignment horizontal="right" vertical="center" wrapText="1"/>
    </xf>
    <xf numFmtId="3" fontId="4" fillId="9" borderId="19" xfId="0" applyNumberFormat="1" applyFont="1" applyFill="1" applyBorder="1" applyAlignment="1">
      <alignment horizontal="center" vertical="center" wrapText="1"/>
    </xf>
    <xf numFmtId="2" fontId="0" fillId="10" borderId="18" xfId="0" applyNumberFormat="1" applyFont="1" applyFill="1" applyBorder="1" applyAlignment="1">
      <alignment horizontal="center" vertical="center" wrapText="1"/>
    </xf>
    <xf numFmtId="0" fontId="0" fillId="10" borderId="18" xfId="0" applyFont="1" applyFill="1" applyBorder="1" applyAlignment="1">
      <alignment horizontal="center" vertical="center" wrapText="1"/>
    </xf>
    <xf numFmtId="1" fontId="0" fillId="10" borderId="19" xfId="0" applyNumberFormat="1" applyFont="1" applyFill="1" applyBorder="1" applyAlignment="1">
      <alignment horizontal="center" vertical="center" wrapText="1"/>
    </xf>
    <xf numFmtId="2" fontId="7" fillId="10" borderId="18" xfId="0" applyNumberFormat="1" applyFont="1" applyFill="1" applyBorder="1" applyAlignment="1">
      <alignment horizontal="center" vertical="center" wrapText="1"/>
    </xf>
    <xf numFmtId="0" fontId="0" fillId="10" borderId="20" xfId="0" applyFont="1" applyFill="1" applyBorder="1" applyAlignment="1">
      <alignment horizontal="left" vertical="center" wrapText="1"/>
    </xf>
    <xf numFmtId="2" fontId="2" fillId="5" borderId="13" xfId="0" applyNumberFormat="1" applyFont="1" applyFill="1" applyBorder="1" applyAlignment="1">
      <alignment horizontal="center" vertical="center" wrapText="1"/>
    </xf>
    <xf numFmtId="0" fontId="8" fillId="7" borderId="10" xfId="0" applyFont="1" applyFill="1" applyBorder="1" applyAlignment="1">
      <alignment horizontal="left" vertical="center" wrapText="1"/>
    </xf>
    <xf numFmtId="2" fontId="0" fillId="8" borderId="27" xfId="0" applyNumberFormat="1" applyFill="1" applyBorder="1" applyAlignment="1">
      <alignment horizontal="center" vertical="center" wrapText="1"/>
    </xf>
    <xf numFmtId="2" fontId="0" fillId="8" borderId="19" xfId="0" applyNumberForma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right" vertical="center" wrapText="1"/>
    </xf>
    <xf numFmtId="0" fontId="3" fillId="3" borderId="25" xfId="0" applyFont="1" applyFill="1" applyBorder="1" applyAlignment="1">
      <alignment vertical="center" wrapText="1"/>
    </xf>
    <xf numFmtId="4" fontId="4" fillId="3" borderId="22" xfId="0" applyNumberFormat="1" applyFont="1" applyFill="1" applyBorder="1" applyAlignment="1">
      <alignment horizontal="center" vertical="center" wrapText="1"/>
    </xf>
    <xf numFmtId="4" fontId="4" fillId="3" borderId="7" xfId="0" applyNumberFormat="1" applyFont="1" applyFill="1" applyBorder="1" applyAlignment="1">
      <alignment horizontal="center" vertical="center" wrapText="1"/>
    </xf>
    <xf numFmtId="3" fontId="4" fillId="7" borderId="7" xfId="0" applyNumberFormat="1" applyFont="1" applyFill="1" applyBorder="1" applyAlignment="1">
      <alignment horizontal="center" vertical="center" wrapText="1"/>
    </xf>
    <xf numFmtId="0" fontId="5" fillId="7" borderId="16" xfId="0" applyFont="1" applyFill="1" applyBorder="1" applyAlignment="1">
      <alignment horizontal="right" vertical="center" wrapText="1"/>
    </xf>
    <xf numFmtId="3" fontId="4" fillId="7" borderId="17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left" vertical="center" wrapText="1"/>
    </xf>
    <xf numFmtId="2" fontId="0" fillId="4" borderId="28" xfId="0" applyNumberFormat="1" applyFont="1" applyFill="1" applyBorder="1" applyAlignment="1">
      <alignment horizontal="center" vertical="center" wrapText="1"/>
    </xf>
    <xf numFmtId="1" fontId="0" fillId="4" borderId="8" xfId="0" applyNumberFormat="1" applyFill="1" applyBorder="1" applyAlignment="1">
      <alignment horizontal="center" vertical="center"/>
    </xf>
    <xf numFmtId="1" fontId="2" fillId="5" borderId="14" xfId="0" applyNumberFormat="1" applyFont="1" applyFill="1" applyBorder="1" applyAlignment="1">
      <alignment horizontal="center" vertical="center" wrapText="1"/>
    </xf>
    <xf numFmtId="9" fontId="5" fillId="7" borderId="6" xfId="0" applyNumberFormat="1" applyFont="1" applyFill="1" applyBorder="1" applyAlignment="1">
      <alignment horizontal="right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9" fontId="5" fillId="7" borderId="30" xfId="0" applyNumberFormat="1" applyFont="1" applyFill="1" applyBorder="1" applyAlignment="1">
      <alignment horizontal="right" vertical="center" wrapText="1"/>
    </xf>
    <xf numFmtId="4" fontId="4" fillId="7" borderId="31" xfId="0" applyNumberFormat="1" applyFont="1" applyFill="1" applyBorder="1" applyAlignment="1">
      <alignment horizontal="center" vertical="center" wrapText="1"/>
    </xf>
    <xf numFmtId="2" fontId="0" fillId="8" borderId="26" xfId="0" applyNumberFormat="1" applyFill="1" applyBorder="1" applyAlignment="1">
      <alignment horizontal="center" vertical="center" wrapText="1"/>
    </xf>
    <xf numFmtId="164" fontId="0" fillId="8" borderId="27" xfId="0" applyNumberFormat="1" applyFill="1" applyBorder="1" applyAlignment="1">
      <alignment horizontal="center" vertical="center" wrapText="1"/>
    </xf>
    <xf numFmtId="0" fontId="0" fillId="8" borderId="32" xfId="0" applyFill="1" applyBorder="1" applyAlignment="1">
      <alignment horizontal="left" vertical="center" wrapText="1"/>
    </xf>
    <xf numFmtId="1" fontId="0" fillId="8" borderId="8" xfId="0" applyNumberFormat="1" applyFill="1" applyBorder="1" applyAlignment="1">
      <alignment horizontal="center" vertical="center"/>
    </xf>
    <xf numFmtId="3" fontId="4" fillId="7" borderId="12" xfId="0" applyNumberFormat="1" applyFont="1" applyFill="1" applyBorder="1" applyAlignment="1">
      <alignment horizontal="center" vertical="center" wrapText="1"/>
    </xf>
    <xf numFmtId="0" fontId="0" fillId="8" borderId="13" xfId="0" applyFill="1" applyBorder="1" applyAlignment="1">
      <alignment horizontal="center" vertical="center" wrapText="1"/>
    </xf>
    <xf numFmtId="1" fontId="0" fillId="8" borderId="26" xfId="0" applyNumberFormat="1" applyFill="1" applyBorder="1" applyAlignment="1">
      <alignment horizontal="center" vertical="center" wrapText="1"/>
    </xf>
    <xf numFmtId="4" fontId="4" fillId="3" borderId="17" xfId="0" applyNumberFormat="1" applyFont="1" applyFill="1" applyBorder="1" applyAlignment="1">
      <alignment horizontal="center" vertical="center" wrapText="1"/>
    </xf>
    <xf numFmtId="2" fontId="0" fillId="4" borderId="18" xfId="0" applyNumberForma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vertical="center"/>
    </xf>
    <xf numFmtId="0" fontId="11" fillId="2" borderId="1" xfId="0" applyFont="1" applyFill="1" applyBorder="1" applyAlignment="1">
      <alignment vertical="center"/>
    </xf>
    <xf numFmtId="0" fontId="7" fillId="10" borderId="8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vertical="center"/>
    </xf>
    <xf numFmtId="0" fontId="5" fillId="7" borderId="30" xfId="0" applyFont="1" applyFill="1" applyBorder="1" applyAlignment="1">
      <alignment horizontal="right" vertical="center"/>
    </xf>
    <xf numFmtId="3" fontId="4" fillId="7" borderId="31" xfId="0" applyNumberFormat="1" applyFont="1" applyFill="1" applyBorder="1" applyAlignment="1">
      <alignment horizontal="center" vertical="center"/>
    </xf>
    <xf numFmtId="2" fontId="0" fillId="8" borderId="27" xfId="0" applyNumberFormat="1" applyFill="1" applyBorder="1" applyAlignment="1">
      <alignment horizontal="center" vertical="center"/>
    </xf>
    <xf numFmtId="0" fontId="0" fillId="8" borderId="27" xfId="0" applyFill="1" applyBorder="1" applyAlignment="1">
      <alignment horizontal="center" vertical="center"/>
    </xf>
    <xf numFmtId="0" fontId="0" fillId="8" borderId="26" xfId="0" applyFill="1" applyBorder="1" applyAlignment="1">
      <alignment horizontal="center" vertical="center"/>
    </xf>
    <xf numFmtId="2" fontId="0" fillId="8" borderId="18" xfId="0" applyNumberFormat="1" applyFill="1" applyBorder="1" applyAlignment="1">
      <alignment horizontal="center" vertical="center"/>
    </xf>
    <xf numFmtId="0" fontId="0" fillId="8" borderId="32" xfId="0" applyFill="1" applyBorder="1" applyAlignment="1">
      <alignment horizontal="left" vertical="center"/>
    </xf>
    <xf numFmtId="2" fontId="0" fillId="4" borderId="25" xfId="0" applyNumberFormat="1" applyFill="1" applyBorder="1" applyAlignment="1">
      <alignment horizontal="left" vertical="center" wrapText="1"/>
    </xf>
    <xf numFmtId="0" fontId="5" fillId="7" borderId="39" xfId="0" applyFont="1" applyFill="1" applyBorder="1" applyAlignment="1">
      <alignment horizontal="right" vertical="center"/>
    </xf>
    <xf numFmtId="3" fontId="4" fillId="7" borderId="40" xfId="0" applyNumberFormat="1" applyFont="1" applyFill="1" applyBorder="1" applyAlignment="1">
      <alignment horizontal="center" vertical="center"/>
    </xf>
    <xf numFmtId="2" fontId="0" fillId="8" borderId="38" xfId="0" applyNumberFormat="1" applyFill="1" applyBorder="1" applyAlignment="1">
      <alignment horizontal="center" vertical="center"/>
    </xf>
    <xf numFmtId="0" fontId="0" fillId="8" borderId="38" xfId="0" applyFill="1" applyBorder="1" applyAlignment="1">
      <alignment horizontal="center" vertical="center"/>
    </xf>
    <xf numFmtId="0" fontId="0" fillId="8" borderId="37" xfId="0" applyFill="1" applyBorder="1" applyAlignment="1">
      <alignment horizontal="center" vertical="center"/>
    </xf>
    <xf numFmtId="0" fontId="0" fillId="8" borderId="36" xfId="0" applyFill="1" applyBorder="1" applyAlignment="1">
      <alignment horizontal="left" vertical="center"/>
    </xf>
    <xf numFmtId="2" fontId="0" fillId="4" borderId="41" xfId="0" applyNumberFormat="1" applyFont="1" applyFill="1" applyBorder="1" applyAlignment="1">
      <alignment horizontal="center" vertical="center" wrapText="1"/>
    </xf>
    <xf numFmtId="2" fontId="0" fillId="4" borderId="10" xfId="0" applyNumberFormat="1" applyFill="1" applyBorder="1" applyAlignment="1">
      <alignment horizontal="left" vertical="center" wrapText="1"/>
    </xf>
    <xf numFmtId="2" fontId="0" fillId="8" borderId="42" xfId="0" applyNumberFormat="1" applyFill="1" applyBorder="1" applyAlignment="1">
      <alignment horizontal="center" vertical="center"/>
    </xf>
    <xf numFmtId="0" fontId="0" fillId="0" borderId="0" xfId="0" applyAlignment="1">
      <alignment vertical="center"/>
    </xf>
    <xf numFmtId="0" fontId="3" fillId="11" borderId="1" xfId="0" applyFont="1" applyFill="1" applyBorder="1" applyAlignment="1">
      <alignment horizontal="left" vertical="center"/>
    </xf>
    <xf numFmtId="0" fontId="3" fillId="11" borderId="3" xfId="0" applyFont="1" applyFill="1" applyBorder="1" applyAlignment="1">
      <alignment horizontal="left" vertical="center"/>
    </xf>
    <xf numFmtId="0" fontId="3" fillId="11" borderId="3" xfId="0" applyFont="1" applyFill="1" applyBorder="1" applyAlignment="1">
      <alignment horizontal="center" vertical="center"/>
    </xf>
    <xf numFmtId="3" fontId="4" fillId="11" borderId="4" xfId="0" applyNumberFormat="1" applyFont="1" applyFill="1" applyBorder="1" applyAlignment="1">
      <alignment horizontal="center" vertical="center"/>
    </xf>
    <xf numFmtId="1" fontId="2" fillId="5" borderId="43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1" fontId="2" fillId="5" borderId="45" xfId="0" applyNumberFormat="1" applyFont="1" applyFill="1" applyBorder="1" applyAlignment="1">
      <alignment horizontal="center" vertical="center"/>
    </xf>
    <xf numFmtId="0" fontId="4" fillId="14" borderId="22" xfId="0" applyFont="1" applyFill="1" applyBorder="1" applyAlignment="1">
      <alignment horizontal="center" vertical="center"/>
    </xf>
    <xf numFmtId="3" fontId="4" fillId="14" borderId="47" xfId="0" applyNumberFormat="1" applyFont="1" applyFill="1" applyBorder="1" applyAlignment="1">
      <alignment horizontal="center"/>
    </xf>
    <xf numFmtId="3" fontId="4" fillId="14" borderId="24" xfId="0" applyNumberFormat="1" applyFont="1" applyFill="1" applyBorder="1" applyAlignment="1">
      <alignment horizontal="center"/>
    </xf>
    <xf numFmtId="2" fontId="0" fillId="12" borderId="47" xfId="0" applyNumberFormat="1" applyFont="1" applyFill="1" applyBorder="1" applyAlignment="1">
      <alignment horizontal="center"/>
    </xf>
    <xf numFmtId="2" fontId="0" fillId="12" borderId="48" xfId="0" applyNumberFormat="1" applyFont="1" applyFill="1" applyBorder="1" applyAlignment="1">
      <alignment horizontal="center"/>
    </xf>
    <xf numFmtId="166" fontId="0" fillId="16" borderId="49" xfId="0" applyNumberFormat="1" applyFont="1" applyFill="1" applyBorder="1" applyAlignment="1">
      <alignment horizontal="center"/>
    </xf>
    <xf numFmtId="2" fontId="0" fillId="16" borderId="50" xfId="0" applyNumberFormat="1" applyFont="1" applyFill="1" applyBorder="1" applyAlignment="1">
      <alignment horizontal="center"/>
    </xf>
    <xf numFmtId="166" fontId="0" fillId="8" borderId="49" xfId="0" applyNumberFormat="1" applyFont="1" applyFill="1" applyBorder="1" applyAlignment="1">
      <alignment horizontal="center"/>
    </xf>
    <xf numFmtId="2" fontId="0" fillId="8" borderId="50" xfId="0" applyNumberFormat="1" applyFont="1" applyFill="1" applyBorder="1" applyAlignment="1">
      <alignment horizontal="center"/>
    </xf>
    <xf numFmtId="0" fontId="0" fillId="0" borderId="0" xfId="0" applyAlignment="1">
      <alignment horizontal="left"/>
    </xf>
    <xf numFmtId="1" fontId="2" fillId="5" borderId="2" xfId="0" applyNumberFormat="1" applyFont="1" applyFill="1" applyBorder="1" applyAlignment="1">
      <alignment horizontal="center" vertical="center"/>
    </xf>
    <xf numFmtId="1" fontId="2" fillId="5" borderId="5" xfId="0" applyNumberFormat="1" applyFont="1" applyFill="1" applyBorder="1" applyAlignment="1">
      <alignment horizontal="left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center"/>
    </xf>
    <xf numFmtId="3" fontId="4" fillId="3" borderId="9" xfId="0" applyNumberFormat="1" applyFont="1" applyFill="1" applyBorder="1" applyAlignment="1">
      <alignment horizontal="center"/>
    </xf>
    <xf numFmtId="1" fontId="0" fillId="4" borderId="49" xfId="0" applyNumberFormat="1" applyFont="1" applyFill="1" applyBorder="1" applyAlignment="1">
      <alignment horizontal="center"/>
    </xf>
    <xf numFmtId="1" fontId="0" fillId="12" borderId="35" xfId="0" applyNumberFormat="1" applyFont="1" applyFill="1" applyBorder="1" applyAlignment="1">
      <alignment horizontal="center"/>
    </xf>
    <xf numFmtId="1" fontId="0" fillId="4" borderId="7" xfId="0" applyNumberFormat="1" applyFont="1" applyFill="1" applyBorder="1" applyAlignment="1">
      <alignment horizontal="center"/>
    </xf>
    <xf numFmtId="9" fontId="0" fillId="4" borderId="50" xfId="1" applyNumberFormat="1" applyFont="1" applyFill="1" applyBorder="1" applyAlignment="1">
      <alignment horizontal="center"/>
    </xf>
    <xf numFmtId="1" fontId="0" fillId="13" borderId="10" xfId="0" applyNumberFormat="1" applyFont="1" applyFill="1" applyBorder="1" applyAlignment="1">
      <alignment horizontal="left"/>
    </xf>
    <xf numFmtId="0" fontId="4" fillId="7" borderId="6" xfId="0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/>
    </xf>
    <xf numFmtId="0" fontId="4" fillId="7" borderId="8" xfId="0" applyFont="1" applyFill="1" applyBorder="1" applyAlignment="1">
      <alignment horizontal="center"/>
    </xf>
    <xf numFmtId="3" fontId="4" fillId="7" borderId="9" xfId="0" applyNumberFormat="1" applyFont="1" applyFill="1" applyBorder="1" applyAlignment="1">
      <alignment horizontal="center"/>
    </xf>
    <xf numFmtId="1" fontId="0" fillId="8" borderId="49" xfId="0" applyNumberFormat="1" applyFont="1" applyFill="1" applyBorder="1" applyAlignment="1">
      <alignment horizontal="center"/>
    </xf>
    <xf numFmtId="1" fontId="0" fillId="17" borderId="35" xfId="0" applyNumberFormat="1" applyFont="1" applyFill="1" applyBorder="1" applyAlignment="1">
      <alignment horizontal="center"/>
    </xf>
    <xf numFmtId="1" fontId="0" fillId="8" borderId="7" xfId="0" applyNumberFormat="1" applyFont="1" applyFill="1" applyBorder="1" applyAlignment="1">
      <alignment horizontal="center"/>
    </xf>
    <xf numFmtId="9" fontId="0" fillId="8" borderId="50" xfId="1" applyNumberFormat="1" applyFont="1" applyFill="1" applyBorder="1" applyAlignment="1">
      <alignment horizontal="center"/>
    </xf>
    <xf numFmtId="1" fontId="0" fillId="13" borderId="20" xfId="0" applyNumberFormat="1" applyFont="1" applyFill="1" applyBorder="1" applyAlignment="1">
      <alignment horizontal="left"/>
    </xf>
    <xf numFmtId="0" fontId="4" fillId="7" borderId="16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/>
    </xf>
    <xf numFmtId="1" fontId="2" fillId="5" borderId="5" xfId="0" applyNumberFormat="1" applyFont="1" applyFill="1" applyBorder="1" applyAlignment="1">
      <alignment horizontal="center" vertical="center"/>
    </xf>
    <xf numFmtId="0" fontId="3" fillId="11" borderId="3" xfId="0" applyFont="1" applyFill="1" applyBorder="1" applyAlignment="1">
      <alignment horizontal="left" vertical="center" wrapText="1"/>
    </xf>
    <xf numFmtId="1" fontId="2" fillId="5" borderId="44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 wrapText="1"/>
    </xf>
    <xf numFmtId="0" fontId="4" fillId="3" borderId="8" xfId="0" applyFont="1" applyFill="1" applyBorder="1" applyAlignment="1">
      <alignment horizontal="center" vertical="center"/>
    </xf>
    <xf numFmtId="3" fontId="4" fillId="3" borderId="9" xfId="0" applyNumberFormat="1" applyFont="1" applyFill="1" applyBorder="1" applyAlignment="1">
      <alignment horizontal="center" vertical="center"/>
    </xf>
    <xf numFmtId="2" fontId="0" fillId="4" borderId="9" xfId="0" applyNumberFormat="1" applyFont="1" applyFill="1" applyBorder="1" applyAlignment="1">
      <alignment horizontal="center" vertical="center"/>
    </xf>
    <xf numFmtId="2" fontId="0" fillId="4" borderId="49" xfId="0" applyNumberFormat="1" applyFont="1" applyFill="1" applyBorder="1" applyAlignment="1">
      <alignment horizontal="center" vertical="center"/>
    </xf>
    <xf numFmtId="2" fontId="0" fillId="12" borderId="35" xfId="0" applyNumberFormat="1" applyFont="1" applyFill="1" applyBorder="1" applyAlignment="1">
      <alignment horizontal="center" vertical="center"/>
    </xf>
    <xf numFmtId="0" fontId="4" fillId="7" borderId="8" xfId="0" applyFont="1" applyFill="1" applyBorder="1" applyAlignment="1">
      <alignment horizontal="left" vertical="center" wrapText="1"/>
    </xf>
    <xf numFmtId="0" fontId="4" fillId="7" borderId="8" xfId="0" applyFont="1" applyFill="1" applyBorder="1" applyAlignment="1">
      <alignment horizontal="center" vertical="center"/>
    </xf>
    <xf numFmtId="3" fontId="4" fillId="7" borderId="9" xfId="0" applyNumberFormat="1" applyFont="1" applyFill="1" applyBorder="1" applyAlignment="1">
      <alignment horizontal="center" vertical="center"/>
    </xf>
    <xf numFmtId="2" fontId="0" fillId="8" borderId="9" xfId="0" applyNumberFormat="1" applyFont="1" applyFill="1" applyBorder="1" applyAlignment="1">
      <alignment horizontal="center" vertical="center"/>
    </xf>
    <xf numFmtId="2" fontId="0" fillId="8" borderId="49" xfId="0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left" vertical="center"/>
    </xf>
    <xf numFmtId="2" fontId="0" fillId="12" borderId="50" xfId="0" applyNumberFormat="1" applyFont="1" applyFill="1" applyBorder="1" applyAlignment="1">
      <alignment horizontal="center" vertical="center"/>
    </xf>
    <xf numFmtId="1" fontId="0" fillId="13" borderId="21" xfId="0" applyNumberFormat="1" applyFont="1" applyFill="1" applyBorder="1" applyAlignment="1">
      <alignment horizontal="left" vertical="center"/>
    </xf>
    <xf numFmtId="1" fontId="0" fillId="13" borderId="29" xfId="0" applyNumberFormat="1" applyFont="1" applyFill="1" applyBorder="1" applyAlignment="1">
      <alignment horizontal="left" vertical="center"/>
    </xf>
    <xf numFmtId="2" fontId="0" fillId="17" borderId="50" xfId="0" applyNumberFormat="1" applyFont="1" applyFill="1" applyBorder="1" applyAlignment="1">
      <alignment horizontal="center" vertical="center"/>
    </xf>
    <xf numFmtId="1" fontId="0" fillId="13" borderId="6" xfId="0" applyNumberFormat="1" applyFont="1" applyFill="1" applyBorder="1" applyAlignment="1">
      <alignment horizontal="left" vertical="center"/>
    </xf>
    <xf numFmtId="1" fontId="0" fillId="13" borderId="35" xfId="0" applyNumberFormat="1" applyFont="1" applyFill="1" applyBorder="1" applyAlignment="1">
      <alignment horizontal="left" vertical="center"/>
    </xf>
    <xf numFmtId="0" fontId="4" fillId="7" borderId="18" xfId="0" applyFont="1" applyFill="1" applyBorder="1" applyAlignment="1">
      <alignment horizontal="left" vertical="center" wrapText="1"/>
    </xf>
    <xf numFmtId="0" fontId="4" fillId="7" borderId="18" xfId="0" applyFont="1" applyFill="1" applyBorder="1" applyAlignment="1">
      <alignment horizontal="center" vertical="center"/>
    </xf>
    <xf numFmtId="3" fontId="4" fillId="7" borderId="19" xfId="0" applyNumberFormat="1" applyFont="1" applyFill="1" applyBorder="1" applyAlignment="1">
      <alignment horizontal="center" vertical="center"/>
    </xf>
    <xf numFmtId="2" fontId="0" fillId="8" borderId="19" xfId="0" applyNumberFormat="1" applyFont="1" applyFill="1" applyBorder="1" applyAlignment="1">
      <alignment horizontal="center" vertical="center"/>
    </xf>
    <xf numFmtId="2" fontId="0" fillId="8" borderId="46" xfId="0" applyNumberFormat="1" applyFont="1" applyFill="1" applyBorder="1" applyAlignment="1">
      <alignment horizontal="center" vertical="center"/>
    </xf>
    <xf numFmtId="2" fontId="0" fillId="17" borderId="52" xfId="0" applyNumberFormat="1" applyFont="1" applyFill="1" applyBorder="1" applyAlignment="1">
      <alignment horizontal="center" vertical="center"/>
    </xf>
    <xf numFmtId="1" fontId="0" fillId="13" borderId="16" xfId="0" applyNumberFormat="1" applyFont="1" applyFill="1" applyBorder="1" applyAlignment="1">
      <alignment horizontal="left" vertical="center"/>
    </xf>
    <xf numFmtId="1" fontId="0" fillId="13" borderId="34" xfId="0" applyNumberFormat="1" applyFont="1" applyFill="1" applyBorder="1" applyAlignment="1">
      <alignment horizontal="left" vertical="center"/>
    </xf>
    <xf numFmtId="2" fontId="0" fillId="17" borderId="34" xfId="0" applyNumberFormat="1" applyFont="1" applyFill="1" applyBorder="1" applyAlignment="1">
      <alignment horizontal="center" vertical="center"/>
    </xf>
    <xf numFmtId="1" fontId="0" fillId="13" borderId="20" xfId="0" applyNumberFormat="1" applyFont="1" applyFill="1" applyBorder="1" applyAlignment="1">
      <alignment horizontal="left" vertical="center"/>
    </xf>
    <xf numFmtId="1" fontId="0" fillId="4" borderId="9" xfId="0" applyNumberFormat="1" applyFont="1" applyFill="1" applyBorder="1" applyAlignment="1">
      <alignment horizontal="center" vertical="center"/>
    </xf>
    <xf numFmtId="1" fontId="0" fillId="4" borderId="49" xfId="0" applyNumberFormat="1" applyFont="1" applyFill="1" applyBorder="1" applyAlignment="1">
      <alignment horizontal="center" vertical="center"/>
    </xf>
    <xf numFmtId="1" fontId="0" fillId="12" borderId="35" xfId="0" applyNumberFormat="1" applyFont="1" applyFill="1" applyBorder="1" applyAlignment="1">
      <alignment horizontal="center" vertical="center"/>
    </xf>
    <xf numFmtId="1" fontId="0" fillId="4" borderId="7" xfId="0" applyNumberFormat="1" applyFont="1" applyFill="1" applyBorder="1" applyAlignment="1">
      <alignment horizontal="center" vertical="center"/>
    </xf>
    <xf numFmtId="9" fontId="0" fillId="4" borderId="50" xfId="1" applyNumberFormat="1" applyFont="1" applyFill="1" applyBorder="1" applyAlignment="1">
      <alignment horizontal="center" vertical="center"/>
    </xf>
    <xf numFmtId="1" fontId="0" fillId="13" borderId="10" xfId="0" applyNumberFormat="1" applyFont="1" applyFill="1" applyBorder="1" applyAlignment="1">
      <alignment horizontal="left" vertical="center"/>
    </xf>
    <xf numFmtId="1" fontId="0" fillId="8" borderId="9" xfId="0" applyNumberFormat="1" applyFont="1" applyFill="1" applyBorder="1" applyAlignment="1">
      <alignment horizontal="center" vertical="center"/>
    </xf>
    <xf numFmtId="1" fontId="0" fillId="8" borderId="49" xfId="0" applyNumberFormat="1" applyFont="1" applyFill="1" applyBorder="1" applyAlignment="1">
      <alignment horizontal="center" vertical="center"/>
    </xf>
    <xf numFmtId="1" fontId="0" fillId="17" borderId="35" xfId="0" applyNumberFormat="1" applyFont="1" applyFill="1" applyBorder="1" applyAlignment="1">
      <alignment horizontal="center" vertical="center"/>
    </xf>
    <xf numFmtId="1" fontId="0" fillId="8" borderId="7" xfId="0" applyNumberFormat="1" applyFont="1" applyFill="1" applyBorder="1" applyAlignment="1">
      <alignment horizontal="center" vertical="center"/>
    </xf>
    <xf numFmtId="9" fontId="0" fillId="8" borderId="50" xfId="1" applyNumberFormat="1" applyFont="1" applyFill="1" applyBorder="1" applyAlignment="1">
      <alignment horizontal="center" vertical="center"/>
    </xf>
    <xf numFmtId="2" fontId="0" fillId="4" borderId="7" xfId="0" applyNumberFormat="1" applyFont="1" applyFill="1" applyBorder="1" applyAlignment="1">
      <alignment horizontal="center" vertical="center"/>
    </xf>
    <xf numFmtId="2" fontId="0" fillId="13" borderId="25" xfId="0" applyNumberFormat="1" applyFont="1" applyFill="1" applyBorder="1" applyAlignment="1">
      <alignment horizontal="left" vertical="center"/>
    </xf>
    <xf numFmtId="2" fontId="0" fillId="8" borderId="7" xfId="0" applyNumberFormat="1" applyFont="1" applyFill="1" applyBorder="1" applyAlignment="1">
      <alignment horizontal="center" vertical="center"/>
    </xf>
    <xf numFmtId="2" fontId="0" fillId="13" borderId="10" xfId="0" applyNumberFormat="1" applyFont="1" applyFill="1" applyBorder="1" applyAlignment="1">
      <alignment horizontal="left" vertical="center"/>
    </xf>
    <xf numFmtId="2" fontId="0" fillId="8" borderId="17" xfId="0" applyNumberFormat="1" applyFont="1" applyFill="1" applyBorder="1" applyAlignment="1">
      <alignment horizontal="center" vertical="center"/>
    </xf>
    <xf numFmtId="9" fontId="0" fillId="8" borderId="52" xfId="1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 wrapText="1"/>
    </xf>
    <xf numFmtId="0" fontId="4" fillId="9" borderId="7" xfId="0" applyFont="1" applyFill="1" applyBorder="1" applyAlignment="1">
      <alignment horizontal="center" vertical="center"/>
    </xf>
    <xf numFmtId="2" fontId="0" fillId="8" borderId="52" xfId="0" applyNumberFormat="1" applyFont="1" applyFill="1" applyBorder="1" applyAlignment="1">
      <alignment horizontal="center"/>
    </xf>
    <xf numFmtId="1" fontId="12" fillId="13" borderId="10" xfId="0" applyNumberFormat="1" applyFont="1" applyFill="1" applyBorder="1" applyAlignment="1">
      <alignment horizontal="center"/>
    </xf>
    <xf numFmtId="1" fontId="0" fillId="4" borderId="21" xfId="0" applyNumberFormat="1" applyFill="1" applyBorder="1" applyAlignment="1">
      <alignment horizontal="center" vertical="center"/>
    </xf>
    <xf numFmtId="1" fontId="0" fillId="4" borderId="23" xfId="0" applyNumberFormat="1" applyFill="1" applyBorder="1" applyAlignment="1">
      <alignment horizontal="center" vertical="center"/>
    </xf>
    <xf numFmtId="9" fontId="0" fillId="4" borderId="29" xfId="1" applyFont="1" applyFill="1" applyBorder="1" applyAlignment="1">
      <alignment horizontal="center" vertical="center"/>
    </xf>
    <xf numFmtId="2" fontId="0" fillId="8" borderId="6" xfId="0" applyNumberFormat="1" applyFill="1" applyBorder="1" applyAlignment="1">
      <alignment horizontal="center" vertical="center"/>
    </xf>
    <xf numFmtId="9" fontId="0" fillId="8" borderId="35" xfId="1" applyFont="1" applyFill="1" applyBorder="1" applyAlignment="1">
      <alignment horizontal="center" vertical="center"/>
    </xf>
    <xf numFmtId="1" fontId="0" fillId="4" borderId="6" xfId="0" applyNumberFormat="1" applyFill="1" applyBorder="1" applyAlignment="1">
      <alignment horizontal="center" vertical="center"/>
    </xf>
    <xf numFmtId="9" fontId="0" fillId="4" borderId="35" xfId="1" applyFont="1" applyFill="1" applyBorder="1" applyAlignment="1">
      <alignment horizontal="center" vertical="center"/>
    </xf>
    <xf numFmtId="2" fontId="0" fillId="8" borderId="16" xfId="0" applyNumberFormat="1" applyFill="1" applyBorder="1" applyAlignment="1">
      <alignment horizontal="center" vertical="center"/>
    </xf>
    <xf numFmtId="164" fontId="0" fillId="8" borderId="18" xfId="0" applyNumberFormat="1" applyFill="1" applyBorder="1" applyAlignment="1">
      <alignment horizontal="center" vertical="center"/>
    </xf>
    <xf numFmtId="9" fontId="0" fillId="8" borderId="34" xfId="1" applyFont="1" applyFill="1" applyBorder="1" applyAlignment="1">
      <alignment horizontal="center" vertical="center"/>
    </xf>
    <xf numFmtId="1" fontId="0" fillId="4" borderId="18" xfId="0" applyNumberFormat="1" applyFill="1" applyBorder="1" applyAlignment="1">
      <alignment horizontal="center" vertical="center"/>
    </xf>
    <xf numFmtId="9" fontId="0" fillId="4" borderId="34" xfId="1" applyFont="1" applyFill="1" applyBorder="1" applyAlignment="1">
      <alignment horizontal="center" vertical="center"/>
    </xf>
    <xf numFmtId="2" fontId="0" fillId="4" borderId="21" xfId="0" applyNumberFormat="1" applyFill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2" fontId="0" fillId="4" borderId="6" xfId="0" applyNumberFormat="1" applyFill="1" applyBorder="1" applyAlignment="1">
      <alignment horizontal="center" vertical="center"/>
    </xf>
    <xf numFmtId="1" fontId="0" fillId="8" borderId="6" xfId="0" applyNumberFormat="1" applyFill="1" applyBorder="1" applyAlignment="1">
      <alignment horizontal="center" vertical="center"/>
    </xf>
    <xf numFmtId="4" fontId="0" fillId="8" borderId="35" xfId="1" applyNumberFormat="1" applyFont="1" applyFill="1" applyBorder="1" applyAlignment="1">
      <alignment horizontal="center" vertical="center"/>
    </xf>
    <xf numFmtId="164" fontId="2" fillId="8" borderId="8" xfId="0" applyNumberFormat="1" applyFont="1" applyFill="1" applyBorder="1" applyAlignment="1">
      <alignment horizontal="center" vertical="center"/>
    </xf>
    <xf numFmtId="2" fontId="2" fillId="8" borderId="6" xfId="0" applyNumberFormat="1" applyFont="1" applyFill="1" applyBorder="1" applyAlignment="1">
      <alignment horizontal="center" vertical="center"/>
    </xf>
    <xf numFmtId="4" fontId="2" fillId="8" borderId="35" xfId="1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2" fontId="0" fillId="4" borderId="16" xfId="0" applyNumberFormat="1" applyFill="1" applyBorder="1" applyAlignment="1">
      <alignment horizontal="center" vertical="center"/>
    </xf>
    <xf numFmtId="164" fontId="0" fillId="4" borderId="18" xfId="0" applyNumberForma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/>
    </xf>
    <xf numFmtId="2" fontId="13" fillId="8" borderId="6" xfId="0" applyNumberFormat="1" applyFont="1" applyFill="1" applyBorder="1" applyAlignment="1">
      <alignment horizontal="center" vertical="center"/>
    </xf>
    <xf numFmtId="1" fontId="0" fillId="8" borderId="18" xfId="0" applyNumberFormat="1" applyFill="1" applyBorder="1" applyAlignment="1">
      <alignment horizontal="center" vertical="center"/>
    </xf>
    <xf numFmtId="3" fontId="4" fillId="3" borderId="24" xfId="0" applyNumberFormat="1" applyFont="1" applyFill="1" applyBorder="1" applyAlignment="1">
      <alignment horizontal="center" vertical="center" wrapText="1"/>
    </xf>
    <xf numFmtId="1" fontId="2" fillId="5" borderId="51" xfId="0" applyNumberFormat="1" applyFon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9" fontId="0" fillId="4" borderId="52" xfId="1" applyNumberFormat="1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/>
    </xf>
    <xf numFmtId="0" fontId="4" fillId="3" borderId="18" xfId="0" applyFont="1" applyFill="1" applyBorder="1" applyAlignment="1">
      <alignment horizontal="center"/>
    </xf>
    <xf numFmtId="3" fontId="4" fillId="3" borderId="19" xfId="0" applyNumberFormat="1" applyFont="1" applyFill="1" applyBorder="1" applyAlignment="1">
      <alignment horizontal="center"/>
    </xf>
    <xf numFmtId="2" fontId="0" fillId="4" borderId="17" xfId="0" applyNumberFormat="1" applyFont="1" applyFill="1" applyBorder="1" applyAlignment="1">
      <alignment horizontal="center"/>
    </xf>
    <xf numFmtId="2" fontId="0" fillId="4" borderId="46" xfId="0" applyNumberFormat="1" applyFont="1" applyFill="1" applyBorder="1" applyAlignment="1">
      <alignment horizontal="center"/>
    </xf>
    <xf numFmtId="2" fontId="0" fillId="12" borderId="34" xfId="0" applyNumberFormat="1" applyFont="1" applyFill="1" applyBorder="1" applyAlignment="1">
      <alignment horizontal="center"/>
    </xf>
    <xf numFmtId="1" fontId="0" fillId="13" borderId="1" xfId="0" applyNumberFormat="1" applyFont="1" applyFill="1" applyBorder="1" applyAlignment="1">
      <alignment vertical="center"/>
    </xf>
    <xf numFmtId="1" fontId="12" fillId="13" borderId="44" xfId="0" applyNumberFormat="1" applyFont="1" applyFill="1" applyBorder="1" applyAlignment="1">
      <alignment vertical="center"/>
    </xf>
    <xf numFmtId="2" fontId="0" fillId="12" borderId="28" xfId="0" applyNumberFormat="1" applyFont="1" applyFill="1" applyBorder="1" applyAlignment="1">
      <alignment horizontal="center"/>
    </xf>
    <xf numFmtId="166" fontId="0" fillId="16" borderId="41" xfId="0" applyNumberFormat="1" applyFont="1" applyFill="1" applyBorder="1" applyAlignment="1">
      <alignment horizontal="center"/>
    </xf>
    <xf numFmtId="166" fontId="0" fillId="8" borderId="41" xfId="0" applyNumberFormat="1" applyFont="1" applyFill="1" applyBorder="1" applyAlignment="1">
      <alignment horizontal="center"/>
    </xf>
    <xf numFmtId="0" fontId="14" fillId="15" borderId="7" xfId="0" applyFont="1" applyFill="1" applyBorder="1" applyAlignment="1">
      <alignment horizontal="center" vertical="center"/>
    </xf>
    <xf numFmtId="166" fontId="0" fillId="8" borderId="54" xfId="0" applyNumberFormat="1" applyFont="1" applyFill="1" applyBorder="1" applyAlignment="1">
      <alignment horizontal="center"/>
    </xf>
    <xf numFmtId="0" fontId="3" fillId="11" borderId="44" xfId="0" applyFont="1" applyFill="1" applyBorder="1" applyAlignment="1">
      <alignment horizontal="center" vertical="center"/>
    </xf>
    <xf numFmtId="2" fontId="0" fillId="8" borderId="20" xfId="0" applyNumberFormat="1" applyFont="1" applyFill="1" applyBorder="1" applyAlignment="1">
      <alignment horizontal="center"/>
    </xf>
    <xf numFmtId="1" fontId="0" fillId="4" borderId="17" xfId="0" applyNumberFormat="1" applyFont="1" applyFill="1" applyBorder="1" applyAlignment="1">
      <alignment horizontal="center" vertical="center"/>
    </xf>
    <xf numFmtId="1" fontId="0" fillId="4" borderId="46" xfId="0" applyNumberFormat="1" applyFont="1" applyFill="1" applyBorder="1" applyAlignment="1">
      <alignment horizontal="center" vertical="center"/>
    </xf>
    <xf numFmtId="9" fontId="0" fillId="4" borderId="52" xfId="1" applyNumberFormat="1" applyFont="1" applyFill="1" applyBorder="1" applyAlignment="1">
      <alignment horizontal="center" vertical="center"/>
    </xf>
    <xf numFmtId="0" fontId="4" fillId="3" borderId="18" xfId="0" applyFont="1" applyFill="1" applyBorder="1" applyAlignment="1">
      <alignment horizontal="left" vertical="center" wrapText="1"/>
    </xf>
    <xf numFmtId="0" fontId="4" fillId="3" borderId="18" xfId="0" applyFont="1" applyFill="1" applyBorder="1" applyAlignment="1">
      <alignment horizontal="center" vertical="center"/>
    </xf>
    <xf numFmtId="3" fontId="4" fillId="3" borderId="19" xfId="0" applyNumberFormat="1" applyFont="1" applyFill="1" applyBorder="1" applyAlignment="1">
      <alignment horizontal="center" vertical="center"/>
    </xf>
    <xf numFmtId="1" fontId="0" fillId="4" borderId="19" xfId="0" applyNumberFormat="1" applyFont="1" applyFill="1" applyBorder="1" applyAlignment="1">
      <alignment horizontal="center" vertical="center"/>
    </xf>
    <xf numFmtId="1" fontId="0" fillId="12" borderId="34" xfId="0" applyNumberFormat="1" applyFont="1" applyFill="1" applyBorder="1" applyAlignment="1">
      <alignment horizontal="center" vertical="center"/>
    </xf>
    <xf numFmtId="2" fontId="0" fillId="4" borderId="8" xfId="0" applyNumberFormat="1" applyFont="1" applyFill="1" applyBorder="1" applyAlignment="1">
      <alignment horizontal="center" vertical="center"/>
    </xf>
    <xf numFmtId="2" fontId="0" fillId="8" borderId="8" xfId="0" applyNumberFormat="1" applyFont="1" applyFill="1" applyBorder="1" applyAlignment="1">
      <alignment horizontal="center" vertical="center"/>
    </xf>
    <xf numFmtId="2" fontId="0" fillId="8" borderId="18" xfId="0" applyNumberFormat="1" applyFont="1" applyFill="1" applyBorder="1" applyAlignment="1">
      <alignment horizontal="center" vertical="center"/>
    </xf>
    <xf numFmtId="166" fontId="16" fillId="16" borderId="49" xfId="0" applyNumberFormat="1" applyFont="1" applyFill="1" applyBorder="1" applyAlignment="1">
      <alignment horizontal="center" vertical="center"/>
    </xf>
    <xf numFmtId="166" fontId="16" fillId="8" borderId="49" xfId="0" applyNumberFormat="1" applyFont="1" applyFill="1" applyBorder="1" applyAlignment="1">
      <alignment horizontal="center" vertical="center"/>
    </xf>
    <xf numFmtId="166" fontId="16" fillId="8" borderId="50" xfId="0" applyNumberFormat="1" applyFont="1" applyFill="1" applyBorder="1" applyAlignment="1">
      <alignment horizontal="center" vertical="center"/>
    </xf>
    <xf numFmtId="0" fontId="17" fillId="15" borderId="7" xfId="0" applyFont="1" applyFill="1" applyBorder="1" applyAlignment="1">
      <alignment horizontal="center" vertical="center"/>
    </xf>
    <xf numFmtId="166" fontId="16" fillId="16" borderId="50" xfId="0" applyNumberFormat="1" applyFont="1" applyFill="1" applyBorder="1" applyAlignment="1">
      <alignment horizontal="center" vertical="center"/>
    </xf>
    <xf numFmtId="166" fontId="16" fillId="8" borderId="7" xfId="0" applyNumberFormat="1" applyFont="1" applyFill="1" applyBorder="1" applyAlignment="1">
      <alignment horizontal="center" vertical="center"/>
    </xf>
    <xf numFmtId="0" fontId="17" fillId="14" borderId="2" xfId="0" applyFont="1" applyFill="1" applyBorder="1" applyAlignment="1">
      <alignment horizontal="center" vertical="center"/>
    </xf>
    <xf numFmtId="3" fontId="17" fillId="14" borderId="43" xfId="0" applyNumberFormat="1" applyFont="1" applyFill="1" applyBorder="1" applyAlignment="1">
      <alignment horizontal="center" vertical="center"/>
    </xf>
    <xf numFmtId="3" fontId="17" fillId="14" borderId="4" xfId="0" applyNumberFormat="1" applyFont="1" applyFill="1" applyBorder="1" applyAlignment="1">
      <alignment horizontal="center" vertical="center"/>
    </xf>
    <xf numFmtId="2" fontId="15" fillId="12" borderId="43" xfId="0" applyNumberFormat="1" applyFont="1" applyFill="1" applyBorder="1" applyAlignment="1">
      <alignment horizontal="center" vertical="center"/>
    </xf>
    <xf numFmtId="2" fontId="15" fillId="12" borderId="45" xfId="0" applyNumberFormat="1" applyFont="1" applyFill="1" applyBorder="1" applyAlignment="1">
      <alignment horizontal="center" vertical="center"/>
    </xf>
    <xf numFmtId="0" fontId="17" fillId="15" borderId="22" xfId="0" applyFont="1" applyFill="1" applyBorder="1" applyAlignment="1">
      <alignment horizontal="center" vertical="center"/>
    </xf>
    <xf numFmtId="166" fontId="16" fillId="16" borderId="47" xfId="0" applyNumberFormat="1" applyFont="1" applyFill="1" applyBorder="1" applyAlignment="1">
      <alignment horizontal="center" vertical="center"/>
    </xf>
    <xf numFmtId="166" fontId="16" fillId="16" borderId="48" xfId="0" applyNumberFormat="1" applyFont="1" applyFill="1" applyBorder="1" applyAlignment="1">
      <alignment horizontal="center" vertical="center"/>
    </xf>
    <xf numFmtId="0" fontId="3" fillId="11" borderId="1" xfId="0" applyFont="1" applyFill="1" applyBorder="1" applyAlignment="1">
      <alignment horizontal="left" vertical="center" indent="1"/>
    </xf>
    <xf numFmtId="4" fontId="3" fillId="11" borderId="3" xfId="0" applyNumberFormat="1" applyFont="1" applyFill="1" applyBorder="1" applyAlignment="1">
      <alignment horizontal="center" vertical="center"/>
    </xf>
    <xf numFmtId="4" fontId="3" fillId="11" borderId="4" xfId="0" applyNumberFormat="1" applyFont="1" applyFill="1" applyBorder="1" applyAlignment="1">
      <alignment horizontal="center" vertical="center"/>
    </xf>
    <xf numFmtId="0" fontId="4" fillId="7" borderId="6" xfId="0" applyFont="1" applyFill="1" applyBorder="1" applyAlignment="1">
      <alignment horizontal="center"/>
    </xf>
    <xf numFmtId="0" fontId="4" fillId="7" borderId="9" xfId="0" applyFont="1" applyFill="1" applyBorder="1" applyAlignment="1">
      <alignment horizontal="center"/>
    </xf>
    <xf numFmtId="2" fontId="0" fillId="8" borderId="41" xfId="0" applyNumberFormat="1" applyFont="1" applyFill="1" applyBorder="1" applyAlignment="1">
      <alignment horizontal="center"/>
    </xf>
    <xf numFmtId="0" fontId="4" fillId="7" borderId="16" xfId="0" applyFont="1" applyFill="1" applyBorder="1" applyAlignment="1">
      <alignment horizontal="center"/>
    </xf>
    <xf numFmtId="0" fontId="4" fillId="7" borderId="19" xfId="0" applyFont="1" applyFill="1" applyBorder="1" applyAlignment="1">
      <alignment horizontal="center"/>
    </xf>
    <xf numFmtId="0" fontId="0" fillId="17" borderId="57" xfId="0" applyFill="1" applyBorder="1" applyAlignment="1">
      <alignment vertical="center"/>
    </xf>
    <xf numFmtId="1" fontId="0" fillId="4" borderId="41" xfId="0" applyNumberFormat="1" applyFont="1" applyFill="1" applyBorder="1" applyAlignment="1">
      <alignment horizontal="center" vertical="center"/>
    </xf>
    <xf numFmtId="2" fontId="0" fillId="17" borderId="35" xfId="0" applyNumberFormat="1" applyFont="1" applyFill="1" applyBorder="1" applyAlignment="1">
      <alignment horizontal="center" vertical="center"/>
    </xf>
    <xf numFmtId="0" fontId="17" fillId="14" borderId="5" xfId="0" applyFont="1" applyFill="1" applyBorder="1" applyAlignment="1">
      <alignment horizontal="center" vertical="center"/>
    </xf>
    <xf numFmtId="0" fontId="17" fillId="15" borderId="10" xfId="0" applyFont="1" applyFill="1" applyBorder="1" applyAlignment="1">
      <alignment horizontal="center" vertical="center"/>
    </xf>
    <xf numFmtId="0" fontId="17" fillId="15" borderId="33" xfId="0" applyFont="1" applyFill="1" applyBorder="1" applyAlignment="1">
      <alignment horizontal="center" vertical="center"/>
    </xf>
    <xf numFmtId="1" fontId="2" fillId="5" borderId="53" xfId="0" applyNumberFormat="1" applyFont="1" applyFill="1" applyBorder="1" applyAlignment="1">
      <alignment horizontal="center" vertical="center"/>
    </xf>
    <xf numFmtId="166" fontId="16" fillId="8" borderId="12" xfId="0" applyNumberFormat="1" applyFont="1" applyFill="1" applyBorder="1" applyAlignment="1">
      <alignment horizontal="center" vertical="center"/>
    </xf>
    <xf numFmtId="164" fontId="0" fillId="4" borderId="9" xfId="0" applyNumberFormat="1" applyFont="1" applyFill="1" applyBorder="1" applyAlignment="1">
      <alignment horizontal="center" vertical="center"/>
    </xf>
    <xf numFmtId="164" fontId="0" fillId="4" borderId="49" xfId="0" applyNumberFormat="1" applyFont="1" applyFill="1" applyBorder="1" applyAlignment="1">
      <alignment horizontal="center" vertical="center"/>
    </xf>
    <xf numFmtId="164" fontId="0" fillId="4" borderId="19" xfId="0" applyNumberFormat="1" applyFont="1" applyFill="1" applyBorder="1" applyAlignment="1">
      <alignment horizontal="center" vertical="center"/>
    </xf>
    <xf numFmtId="164" fontId="0" fillId="8" borderId="9" xfId="0" applyNumberFormat="1" applyFont="1" applyFill="1" applyBorder="1" applyAlignment="1">
      <alignment horizontal="center" vertical="center"/>
    </xf>
    <xf numFmtId="164" fontId="0" fillId="8" borderId="49" xfId="0" applyNumberFormat="1" applyFont="1" applyFill="1" applyBorder="1" applyAlignment="1">
      <alignment horizontal="center" vertical="center"/>
    </xf>
    <xf numFmtId="164" fontId="0" fillId="8" borderId="19" xfId="0" applyNumberFormat="1" applyFont="1" applyFill="1" applyBorder="1" applyAlignment="1">
      <alignment horizontal="center" vertical="center"/>
    </xf>
    <xf numFmtId="0" fontId="4" fillId="18" borderId="8" xfId="0" applyFont="1" applyFill="1" applyBorder="1" applyAlignment="1">
      <alignment horizontal="left" vertical="center" wrapText="1"/>
    </xf>
    <xf numFmtId="0" fontId="4" fillId="18" borderId="6" xfId="0" applyFont="1" applyFill="1" applyBorder="1" applyAlignment="1">
      <alignment horizontal="center" vertical="center"/>
    </xf>
    <xf numFmtId="0" fontId="4" fillId="18" borderId="16" xfId="0" applyFont="1" applyFill="1" applyBorder="1" applyAlignment="1">
      <alignment horizontal="center" vertical="center"/>
    </xf>
    <xf numFmtId="0" fontId="4" fillId="18" borderId="18" xfId="0" applyFont="1" applyFill="1" applyBorder="1" applyAlignment="1">
      <alignment horizontal="left" vertical="center" wrapText="1"/>
    </xf>
    <xf numFmtId="0" fontId="4" fillId="19" borderId="6" xfId="0" applyFont="1" applyFill="1" applyBorder="1" applyAlignment="1">
      <alignment horizontal="center" vertical="center"/>
    </xf>
    <xf numFmtId="0" fontId="4" fillId="19" borderId="8" xfId="0" applyFont="1" applyFill="1" applyBorder="1" applyAlignment="1">
      <alignment horizontal="left" vertical="center" wrapText="1"/>
    </xf>
    <xf numFmtId="0" fontId="4" fillId="19" borderId="16" xfId="0" applyFont="1" applyFill="1" applyBorder="1" applyAlignment="1">
      <alignment horizontal="center" vertical="center"/>
    </xf>
    <xf numFmtId="0" fontId="4" fillId="19" borderId="18" xfId="0" applyFont="1" applyFill="1" applyBorder="1" applyAlignment="1">
      <alignment horizontal="left" vertical="center" wrapText="1"/>
    </xf>
    <xf numFmtId="2" fontId="0" fillId="20" borderId="49" xfId="0" applyNumberFormat="1" applyFont="1" applyFill="1" applyBorder="1" applyAlignment="1">
      <alignment horizontal="center" vertical="center"/>
    </xf>
    <xf numFmtId="2" fontId="0" fillId="20" borderId="46" xfId="0" applyNumberFormat="1" applyFont="1" applyFill="1" applyBorder="1" applyAlignment="1">
      <alignment horizontal="center" vertical="center"/>
    </xf>
    <xf numFmtId="0" fontId="3" fillId="2" borderId="64" xfId="0" applyFont="1" applyFill="1" applyBorder="1" applyAlignment="1">
      <alignment horizontal="center" vertical="center" wrapText="1"/>
    </xf>
    <xf numFmtId="4" fontId="3" fillId="2" borderId="61" xfId="0" applyNumberFormat="1" applyFont="1" applyFill="1" applyBorder="1" applyAlignment="1">
      <alignment horizontal="center" vertical="center" wrapText="1"/>
    </xf>
    <xf numFmtId="4" fontId="3" fillId="2" borderId="62" xfId="0" applyNumberFormat="1" applyFont="1" applyFill="1" applyBorder="1" applyAlignment="1">
      <alignment horizontal="center" vertical="center" wrapText="1"/>
    </xf>
    <xf numFmtId="4" fontId="3" fillId="2" borderId="53" xfId="0" applyNumberFormat="1" applyFont="1" applyFill="1" applyBorder="1" applyAlignment="1">
      <alignment horizontal="center" vertical="center" wrapText="1"/>
    </xf>
    <xf numFmtId="1" fontId="2" fillId="5" borderId="24" xfId="0" applyNumberFormat="1" applyFont="1" applyFill="1" applyBorder="1" applyAlignment="1">
      <alignment horizontal="center" vertical="center" wrapText="1"/>
    </xf>
    <xf numFmtId="1" fontId="0" fillId="4" borderId="16" xfId="0" applyNumberFormat="1" applyFill="1" applyBorder="1" applyAlignment="1">
      <alignment horizontal="center" vertical="center"/>
    </xf>
    <xf numFmtId="0" fontId="3" fillId="3" borderId="16" xfId="0" applyFont="1" applyFill="1" applyBorder="1" applyAlignment="1">
      <alignment vertical="center" wrapText="1"/>
    </xf>
    <xf numFmtId="2" fontId="0" fillId="4" borderId="65" xfId="0" applyNumberFormat="1" applyFont="1" applyFill="1" applyBorder="1" applyAlignment="1">
      <alignment horizontal="center" vertical="center" wrapText="1"/>
    </xf>
    <xf numFmtId="2" fontId="0" fillId="4" borderId="32" xfId="0" applyNumberForma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vertical="center" wrapText="1"/>
    </xf>
    <xf numFmtId="1" fontId="2" fillId="8" borderId="6" xfId="0" applyNumberFormat="1" applyFont="1" applyFill="1" applyBorder="1" applyAlignment="1">
      <alignment horizontal="center" vertical="center"/>
    </xf>
    <xf numFmtId="0" fontId="10" fillId="7" borderId="20" xfId="0" applyFont="1" applyFill="1" applyBorder="1" applyAlignment="1">
      <alignment horizontal="right" vertical="center" wrapText="1"/>
    </xf>
    <xf numFmtId="1" fontId="0" fillId="8" borderId="16" xfId="0" applyNumberFormat="1" applyFill="1" applyBorder="1" applyAlignment="1">
      <alignment horizontal="center" vertical="center"/>
    </xf>
    <xf numFmtId="4" fontId="0" fillId="8" borderId="34" xfId="1" applyNumberFormat="1" applyFont="1" applyFill="1" applyBorder="1" applyAlignment="1">
      <alignment horizontal="center" vertical="center"/>
    </xf>
    <xf numFmtId="2" fontId="0" fillId="10" borderId="8" xfId="0" applyNumberFormat="1" applyFill="1" applyBorder="1" applyAlignment="1">
      <alignment horizontal="center" vertical="center" wrapText="1"/>
    </xf>
    <xf numFmtId="2" fontId="0" fillId="10" borderId="9" xfId="0" applyNumberFormat="1" applyFill="1" applyBorder="1" applyAlignment="1">
      <alignment horizontal="center" vertical="center" wrapText="1"/>
    </xf>
    <xf numFmtId="164" fontId="0" fillId="10" borderId="8" xfId="0" applyNumberFormat="1" applyFill="1" applyBorder="1" applyAlignment="1">
      <alignment horizontal="center" vertical="center" wrapText="1"/>
    </xf>
    <xf numFmtId="0" fontId="0" fillId="10" borderId="10" xfId="0" applyFill="1" applyBorder="1" applyAlignment="1">
      <alignment horizontal="left" vertical="center" wrapText="1"/>
    </xf>
    <xf numFmtId="2" fontId="0" fillId="10" borderId="18" xfId="0" applyNumberFormat="1" applyFill="1" applyBorder="1" applyAlignment="1">
      <alignment horizontal="center" vertical="center" wrapText="1"/>
    </xf>
    <xf numFmtId="2" fontId="0" fillId="10" borderId="19" xfId="0" applyNumberFormat="1" applyFill="1" applyBorder="1" applyAlignment="1">
      <alignment horizontal="center" vertical="center" wrapText="1"/>
    </xf>
    <xf numFmtId="164" fontId="0" fillId="10" borderId="18" xfId="0" applyNumberFormat="1" applyFill="1" applyBorder="1" applyAlignment="1">
      <alignment horizontal="center" vertical="center" wrapText="1"/>
    </xf>
    <xf numFmtId="0" fontId="0" fillId="10" borderId="20" xfId="0" applyFill="1" applyBorder="1" applyAlignment="1">
      <alignment horizontal="left" vertical="center" wrapText="1"/>
    </xf>
    <xf numFmtId="2" fontId="2" fillId="8" borderId="16" xfId="0" applyNumberFormat="1" applyFont="1" applyFill="1" applyBorder="1" applyAlignment="1">
      <alignment horizontal="center" vertical="center"/>
    </xf>
    <xf numFmtId="164" fontId="2" fillId="8" borderId="18" xfId="0" applyNumberFormat="1" applyFont="1" applyFill="1" applyBorder="1" applyAlignment="1">
      <alignment horizontal="center" vertical="center"/>
    </xf>
    <xf numFmtId="4" fontId="2" fillId="8" borderId="34" xfId="1" applyNumberFormat="1" applyFont="1" applyFill="1" applyBorder="1" applyAlignment="1">
      <alignment horizontal="center" vertical="center"/>
    </xf>
    <xf numFmtId="0" fontId="5" fillId="7" borderId="15" xfId="0" applyFont="1" applyFill="1" applyBorder="1" applyAlignment="1">
      <alignment horizontal="right" vertical="center" wrapText="1"/>
    </xf>
    <xf numFmtId="0" fontId="3" fillId="2" borderId="60" xfId="0" applyFont="1" applyFill="1" applyBorder="1" applyAlignment="1">
      <alignment vertical="center" wrapText="1"/>
    </xf>
    <xf numFmtId="2" fontId="0" fillId="4" borderId="23" xfId="0" applyNumberFormat="1" applyFill="1" applyBorder="1" applyAlignment="1">
      <alignment horizontal="center" vertical="center"/>
    </xf>
    <xf numFmtId="10" fontId="0" fillId="4" borderId="29" xfId="1" applyNumberFormat="1" applyFont="1" applyFill="1" applyBorder="1" applyAlignment="1">
      <alignment horizontal="center" vertical="center"/>
    </xf>
    <xf numFmtId="2" fontId="0" fillId="4" borderId="28" xfId="0" applyNumberForma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right" vertical="center" wrapText="1"/>
    </xf>
    <xf numFmtId="1" fontId="9" fillId="8" borderId="6" xfId="0" applyNumberFormat="1" applyFont="1" applyFill="1" applyBorder="1" applyAlignment="1">
      <alignment horizontal="center" vertical="center"/>
    </xf>
    <xf numFmtId="1" fontId="9" fillId="4" borderId="6" xfId="0" applyNumberFormat="1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right" vertical="center"/>
    </xf>
    <xf numFmtId="166" fontId="0" fillId="4" borderId="8" xfId="0" applyNumberFormat="1" applyFill="1" applyBorder="1" applyAlignment="1">
      <alignment horizontal="center" vertical="center"/>
    </xf>
    <xf numFmtId="10" fontId="0" fillId="4" borderId="35" xfId="1" applyNumberFormat="1" applyFont="1" applyFill="1" applyBorder="1" applyAlignment="1">
      <alignment horizontal="center" vertical="center"/>
    </xf>
    <xf numFmtId="2" fontId="9" fillId="4" borderId="6" xfId="0" applyNumberFormat="1" applyFont="1" applyFill="1" applyBorder="1" applyAlignment="1">
      <alignment horizontal="center" vertical="center"/>
    </xf>
    <xf numFmtId="164" fontId="0" fillId="10" borderId="8" xfId="0" applyNumberFormat="1" applyFont="1" applyFill="1" applyBorder="1" applyAlignment="1">
      <alignment horizontal="center" vertical="center"/>
    </xf>
    <xf numFmtId="0" fontId="5" fillId="21" borderId="6" xfId="0" applyFont="1" applyFill="1" applyBorder="1" applyAlignment="1">
      <alignment horizontal="right" vertical="center"/>
    </xf>
    <xf numFmtId="3" fontId="4" fillId="21" borderId="7" xfId="0" applyNumberFormat="1" applyFont="1" applyFill="1" applyBorder="1" applyAlignment="1">
      <alignment horizontal="center" vertical="center"/>
    </xf>
    <xf numFmtId="2" fontId="0" fillId="22" borderId="8" xfId="0" applyNumberFormat="1" applyFill="1" applyBorder="1" applyAlignment="1">
      <alignment horizontal="center" vertical="center" wrapText="1"/>
    </xf>
    <xf numFmtId="164" fontId="0" fillId="22" borderId="8" xfId="0" applyNumberFormat="1" applyFill="1" applyBorder="1" applyAlignment="1">
      <alignment horizontal="center" vertical="center" wrapText="1"/>
    </xf>
    <xf numFmtId="2" fontId="0" fillId="22" borderId="8" xfId="0" applyNumberFormat="1" applyFill="1" applyBorder="1" applyAlignment="1">
      <alignment horizontal="center" vertical="center"/>
    </xf>
    <xf numFmtId="1" fontId="0" fillId="22" borderId="9" xfId="0" applyNumberFormat="1" applyFill="1" applyBorder="1" applyAlignment="1">
      <alignment horizontal="center" vertical="center"/>
    </xf>
    <xf numFmtId="0" fontId="0" fillId="22" borderId="10" xfId="0" applyFill="1" applyBorder="1" applyAlignment="1">
      <alignment horizontal="left" vertical="center"/>
    </xf>
    <xf numFmtId="9" fontId="9" fillId="4" borderId="13" xfId="0" applyNumberFormat="1" applyFont="1" applyFill="1" applyBorder="1" applyAlignment="1">
      <alignment horizontal="center" vertical="center"/>
    </xf>
    <xf numFmtId="2" fontId="9" fillId="4" borderId="13" xfId="0" applyNumberFormat="1" applyFont="1" applyFill="1" applyBorder="1" applyAlignment="1">
      <alignment horizontal="right" vertical="center"/>
    </xf>
    <xf numFmtId="2" fontId="9" fillId="4" borderId="18" xfId="0" applyNumberFormat="1" applyFont="1" applyFill="1" applyBorder="1" applyAlignment="1">
      <alignment horizontal="right" vertical="center"/>
    </xf>
    <xf numFmtId="0" fontId="16" fillId="0" borderId="0" xfId="0" applyFont="1" applyAlignment="1">
      <alignment vertical="center"/>
    </xf>
    <xf numFmtId="0" fontId="16" fillId="0" borderId="0" xfId="0" applyFont="1" applyAlignment="1"/>
    <xf numFmtId="0" fontId="16" fillId="0" borderId="0" xfId="0" applyFont="1"/>
    <xf numFmtId="167" fontId="16" fillId="0" borderId="0" xfId="0" applyNumberFormat="1" applyFont="1"/>
    <xf numFmtId="0" fontId="19" fillId="11" borderId="1" xfId="0" applyFont="1" applyFill="1" applyBorder="1" applyAlignment="1">
      <alignment horizontal="left" vertical="center"/>
    </xf>
    <xf numFmtId="0" fontId="19" fillId="11" borderId="3" xfId="0" applyFont="1" applyFill="1" applyBorder="1" applyAlignment="1">
      <alignment horizontal="left" vertical="center"/>
    </xf>
    <xf numFmtId="0" fontId="19" fillId="11" borderId="3" xfId="0" applyFont="1" applyFill="1" applyBorder="1" applyAlignment="1">
      <alignment horizontal="center" vertical="center"/>
    </xf>
    <xf numFmtId="3" fontId="20" fillId="11" borderId="4" xfId="0" applyNumberFormat="1" applyFont="1" applyFill="1" applyBorder="1" applyAlignment="1">
      <alignment horizontal="center" vertical="center"/>
    </xf>
    <xf numFmtId="1" fontId="15" fillId="5" borderId="4" xfId="0" applyNumberFormat="1" applyFont="1" applyFill="1" applyBorder="1" applyAlignment="1">
      <alignment horizontal="center" vertical="center"/>
    </xf>
    <xf numFmtId="1" fontId="15" fillId="5" borderId="43" xfId="0" applyNumberFormat="1" applyFont="1" applyFill="1" applyBorder="1" applyAlignment="1">
      <alignment horizontal="center" vertical="center"/>
    </xf>
    <xf numFmtId="1" fontId="15" fillId="5" borderId="44" xfId="0" applyNumberFormat="1" applyFont="1" applyFill="1" applyBorder="1" applyAlignment="1">
      <alignment horizontal="center" vertical="center"/>
    </xf>
    <xf numFmtId="1" fontId="15" fillId="5" borderId="1" xfId="0" applyNumberFormat="1" applyFont="1" applyFill="1" applyBorder="1" applyAlignment="1">
      <alignment vertical="center"/>
    </xf>
    <xf numFmtId="1" fontId="15" fillId="5" borderId="3" xfId="0" applyNumberFormat="1" applyFont="1" applyFill="1" applyBorder="1" applyAlignment="1">
      <alignment vertical="center"/>
    </xf>
    <xf numFmtId="1" fontId="15" fillId="5" borderId="44" xfId="0" applyNumberFormat="1" applyFont="1" applyFill="1" applyBorder="1" applyAlignment="1">
      <alignment vertical="center"/>
    </xf>
    <xf numFmtId="1" fontId="15" fillId="5" borderId="5" xfId="0" applyNumberFormat="1" applyFont="1" applyFill="1" applyBorder="1" applyAlignment="1">
      <alignment horizontal="center" vertical="center"/>
    </xf>
    <xf numFmtId="1" fontId="15" fillId="5" borderId="2" xfId="0" applyNumberFormat="1" applyFont="1" applyFill="1" applyBorder="1" applyAlignment="1">
      <alignment horizontal="center" vertical="center"/>
    </xf>
    <xf numFmtId="0" fontId="17" fillId="11" borderId="1" xfId="0" applyFont="1" applyFill="1" applyBorder="1" applyAlignment="1">
      <alignment horizontal="left" vertical="center"/>
    </xf>
    <xf numFmtId="0" fontId="17" fillId="11" borderId="3" xfId="0" applyFont="1" applyFill="1" applyBorder="1" applyAlignment="1">
      <alignment horizontal="center" vertical="center"/>
    </xf>
    <xf numFmtId="167" fontId="17" fillId="11" borderId="3" xfId="0" applyNumberFormat="1" applyFont="1" applyFill="1" applyBorder="1" applyAlignment="1">
      <alignment horizontal="center" vertical="center"/>
    </xf>
    <xf numFmtId="0" fontId="20" fillId="7" borderId="16" xfId="0" applyFont="1" applyFill="1" applyBorder="1" applyAlignment="1">
      <alignment horizontal="center" vertical="center"/>
    </xf>
    <xf numFmtId="0" fontId="20" fillId="7" borderId="18" xfId="0" applyFont="1" applyFill="1" applyBorder="1" applyAlignment="1">
      <alignment horizontal="left"/>
    </xf>
    <xf numFmtId="0" fontId="20" fillId="7" borderId="18" xfId="0" applyFont="1" applyFill="1" applyBorder="1" applyAlignment="1">
      <alignment horizontal="center"/>
    </xf>
    <xf numFmtId="3" fontId="20" fillId="7" borderId="19" xfId="0" applyNumberFormat="1" applyFont="1" applyFill="1" applyBorder="1" applyAlignment="1">
      <alignment horizontal="center"/>
    </xf>
    <xf numFmtId="2" fontId="16" fillId="8" borderId="19" xfId="0" applyNumberFormat="1" applyFont="1" applyFill="1" applyBorder="1" applyAlignment="1">
      <alignment horizontal="center"/>
    </xf>
    <xf numFmtId="2" fontId="16" fillId="12" borderId="34" xfId="0" applyNumberFormat="1" applyFont="1" applyFill="1" applyBorder="1" applyAlignment="1">
      <alignment horizontal="center"/>
    </xf>
    <xf numFmtId="9" fontId="16" fillId="13" borderId="1" xfId="1" applyFont="1" applyFill="1" applyBorder="1" applyAlignment="1">
      <alignment horizontal="center" vertical="center"/>
    </xf>
    <xf numFmtId="49" fontId="16" fillId="13" borderId="3" xfId="0" applyNumberFormat="1" applyFont="1" applyFill="1" applyBorder="1" applyAlignment="1">
      <alignment vertical="center"/>
    </xf>
    <xf numFmtId="49" fontId="16" fillId="13" borderId="44" xfId="0" applyNumberFormat="1" applyFont="1" applyFill="1" applyBorder="1" applyAlignment="1">
      <alignment vertical="center"/>
    </xf>
    <xf numFmtId="0" fontId="19" fillId="3" borderId="66" xfId="0" applyFont="1" applyFill="1" applyBorder="1" applyAlignment="1">
      <alignment horizontal="left" vertical="center" indent="1"/>
    </xf>
    <xf numFmtId="3" fontId="20" fillId="3" borderId="67" xfId="0" applyNumberFormat="1" applyFont="1" applyFill="1" applyBorder="1" applyAlignment="1">
      <alignment horizontal="center"/>
    </xf>
    <xf numFmtId="2" fontId="16" fillId="4" borderId="67" xfId="0" applyNumberFormat="1" applyFont="1" applyFill="1" applyBorder="1" applyAlignment="1">
      <alignment horizontal="center"/>
    </xf>
    <xf numFmtId="2" fontId="16" fillId="12" borderId="56" xfId="0" applyNumberFormat="1" applyFont="1" applyFill="1" applyBorder="1" applyAlignment="1">
      <alignment horizontal="center"/>
    </xf>
    <xf numFmtId="2" fontId="16" fillId="4" borderId="68" xfId="0" applyNumberFormat="1" applyFont="1" applyFill="1" applyBorder="1" applyAlignment="1">
      <alignment horizontal="center"/>
    </xf>
    <xf numFmtId="2" fontId="16" fillId="4" borderId="69" xfId="0" applyNumberFormat="1" applyFont="1" applyFill="1" applyBorder="1" applyAlignment="1">
      <alignment horizontal="center"/>
    </xf>
    <xf numFmtId="9" fontId="16" fillId="4" borderId="70" xfId="1" applyNumberFormat="1" applyFont="1" applyFill="1" applyBorder="1" applyAlignment="1">
      <alignment horizontal="center"/>
    </xf>
    <xf numFmtId="0" fontId="17" fillId="3" borderId="21" xfId="0" applyFont="1" applyFill="1" applyBorder="1" applyAlignment="1">
      <alignment horizontal="center" vertical="center"/>
    </xf>
    <xf numFmtId="0" fontId="17" fillId="3" borderId="23" xfId="0" applyFont="1" applyFill="1" applyBorder="1" applyAlignment="1">
      <alignment horizontal="left"/>
    </xf>
    <xf numFmtId="3" fontId="18" fillId="3" borderId="24" xfId="0" applyNumberFormat="1" applyFont="1" applyFill="1" applyBorder="1" applyAlignment="1">
      <alignment horizontal="center"/>
    </xf>
    <xf numFmtId="167" fontId="18" fillId="3" borderId="24" xfId="0" applyNumberFormat="1" applyFont="1" applyFill="1" applyBorder="1" applyAlignment="1">
      <alignment horizontal="center"/>
    </xf>
    <xf numFmtId="167" fontId="16" fillId="4" borderId="47" xfId="0" applyNumberFormat="1" applyFont="1" applyFill="1" applyBorder="1" applyAlignment="1">
      <alignment horizontal="center"/>
    </xf>
    <xf numFmtId="167" fontId="16" fillId="4" borderId="28" xfId="0" applyNumberFormat="1" applyFont="1" applyFill="1" applyBorder="1" applyAlignment="1">
      <alignment horizontal="center"/>
    </xf>
    <xf numFmtId="2" fontId="16" fillId="4" borderId="22" xfId="0" applyNumberFormat="1" applyFont="1" applyFill="1" applyBorder="1" applyAlignment="1">
      <alignment horizontal="center"/>
    </xf>
    <xf numFmtId="2" fontId="16" fillId="4" borderId="47" xfId="0" applyNumberFormat="1" applyFont="1" applyFill="1" applyBorder="1" applyAlignment="1">
      <alignment horizontal="center"/>
    </xf>
    <xf numFmtId="9" fontId="16" fillId="4" borderId="48" xfId="1" applyNumberFormat="1" applyFont="1" applyFill="1" applyBorder="1" applyAlignment="1">
      <alignment horizontal="center"/>
    </xf>
    <xf numFmtId="2" fontId="18" fillId="7" borderId="6" xfId="0" applyNumberFormat="1" applyFont="1" applyFill="1" applyBorder="1" applyAlignment="1">
      <alignment horizontal="center" vertical="center"/>
    </xf>
    <xf numFmtId="2" fontId="16" fillId="8" borderId="49" xfId="0" applyNumberFormat="1" applyFont="1" applyFill="1" applyBorder="1" applyAlignment="1">
      <alignment horizontal="center"/>
    </xf>
    <xf numFmtId="2" fontId="16" fillId="17" borderId="10" xfId="0" applyNumberFormat="1" applyFont="1" applyFill="1" applyBorder="1" applyAlignment="1">
      <alignment horizontal="center"/>
    </xf>
    <xf numFmtId="2" fontId="16" fillId="8" borderId="7" xfId="0" applyNumberFormat="1" applyFont="1" applyFill="1" applyBorder="1" applyAlignment="1">
      <alignment horizontal="center"/>
    </xf>
    <xf numFmtId="9" fontId="16" fillId="8" borderId="50" xfId="1" applyNumberFormat="1" applyFont="1" applyFill="1" applyBorder="1" applyAlignment="1">
      <alignment horizontal="center"/>
    </xf>
    <xf numFmtId="0" fontId="18" fillId="7" borderId="6" xfId="0" applyFont="1" applyFill="1" applyBorder="1" applyAlignment="1">
      <alignment horizontal="center" vertical="center"/>
    </xf>
    <xf numFmtId="0" fontId="18" fillId="7" borderId="8" xfId="0" applyFont="1" applyFill="1" applyBorder="1" applyAlignment="1">
      <alignment horizontal="left"/>
    </xf>
    <xf numFmtId="3" fontId="18" fillId="7" borderId="14" xfId="0" applyNumberFormat="1" applyFont="1" applyFill="1" applyBorder="1" applyAlignment="1">
      <alignment horizontal="center"/>
    </xf>
    <xf numFmtId="4" fontId="16" fillId="8" borderId="49" xfId="0" applyNumberFormat="1" applyFont="1" applyFill="1" applyBorder="1" applyAlignment="1">
      <alignment horizontal="center"/>
    </xf>
    <xf numFmtId="4" fontId="16" fillId="8" borderId="41" xfId="0" applyNumberFormat="1" applyFont="1" applyFill="1" applyBorder="1" applyAlignment="1">
      <alignment horizontal="center"/>
    </xf>
    <xf numFmtId="168" fontId="16" fillId="8" borderId="7" xfId="0" applyNumberFormat="1" applyFont="1" applyFill="1" applyBorder="1" applyAlignment="1">
      <alignment horizontal="left"/>
    </xf>
    <xf numFmtId="1" fontId="16" fillId="8" borderId="49" xfId="0" applyNumberFormat="1" applyFont="1" applyFill="1" applyBorder="1" applyAlignment="1">
      <alignment horizontal="center"/>
    </xf>
    <xf numFmtId="2" fontId="16" fillId="8" borderId="46" xfId="0" applyNumberFormat="1" applyFont="1" applyFill="1" applyBorder="1" applyAlignment="1">
      <alignment horizontal="center"/>
    </xf>
    <xf numFmtId="2" fontId="16" fillId="23" borderId="49" xfId="0" applyNumberFormat="1" applyFont="1" applyFill="1" applyBorder="1" applyAlignment="1">
      <alignment horizontal="center"/>
    </xf>
    <xf numFmtId="3" fontId="18" fillId="7" borderId="9" xfId="0" applyNumberFormat="1" applyFont="1" applyFill="1" applyBorder="1" applyAlignment="1">
      <alignment horizontal="center"/>
    </xf>
    <xf numFmtId="167" fontId="16" fillId="8" borderId="49" xfId="0" applyNumberFormat="1" applyFont="1" applyFill="1" applyBorder="1" applyAlignment="1">
      <alignment horizontal="center"/>
    </xf>
    <xf numFmtId="0" fontId="16" fillId="0" borderId="0" xfId="0" applyFont="1" applyAlignment="1">
      <alignment horizontal="left"/>
    </xf>
    <xf numFmtId="4" fontId="16" fillId="23" borderId="49" xfId="0" applyNumberFormat="1" applyFont="1" applyFill="1" applyBorder="1" applyAlignment="1">
      <alignment horizontal="center"/>
    </xf>
    <xf numFmtId="4" fontId="16" fillId="10" borderId="49" xfId="0" applyNumberFormat="1" applyFont="1" applyFill="1" applyBorder="1" applyAlignment="1">
      <alignment horizontal="center"/>
    </xf>
    <xf numFmtId="164" fontId="16" fillId="8" borderId="7" xfId="0" applyNumberFormat="1" applyFont="1" applyFill="1" applyBorder="1" applyAlignment="1">
      <alignment horizontal="center"/>
    </xf>
    <xf numFmtId="1" fontId="15" fillId="5" borderId="5" xfId="0" applyNumberFormat="1" applyFont="1" applyFill="1" applyBorder="1" applyAlignment="1">
      <alignment horizontal="left" vertical="center"/>
    </xf>
    <xf numFmtId="0" fontId="20" fillId="7" borderId="6" xfId="0" applyFont="1" applyFill="1" applyBorder="1" applyAlignment="1">
      <alignment horizontal="center" vertical="center"/>
    </xf>
    <xf numFmtId="0" fontId="20" fillId="7" borderId="8" xfId="0" applyFont="1" applyFill="1" applyBorder="1" applyAlignment="1">
      <alignment horizontal="center"/>
    </xf>
    <xf numFmtId="3" fontId="20" fillId="7" borderId="9" xfId="0" applyNumberFormat="1" applyFont="1" applyFill="1" applyBorder="1" applyAlignment="1">
      <alignment horizontal="center"/>
    </xf>
    <xf numFmtId="2" fontId="16" fillId="17" borderId="35" xfId="0" applyNumberFormat="1" applyFont="1" applyFill="1" applyBorder="1" applyAlignment="1">
      <alignment horizontal="center"/>
    </xf>
    <xf numFmtId="2" fontId="18" fillId="8" borderId="7" xfId="0" applyNumberFormat="1" applyFont="1" applyFill="1" applyBorder="1" applyAlignment="1">
      <alignment horizontal="center"/>
    </xf>
    <xf numFmtId="10" fontId="16" fillId="8" borderId="50" xfId="1" applyNumberFormat="1" applyFont="1" applyFill="1" applyBorder="1" applyAlignment="1">
      <alignment horizontal="right"/>
    </xf>
    <xf numFmtId="1" fontId="16" fillId="13" borderId="10" xfId="0" applyNumberFormat="1" applyFont="1" applyFill="1" applyBorder="1" applyAlignment="1">
      <alignment horizontal="left"/>
    </xf>
    <xf numFmtId="2" fontId="18" fillId="3" borderId="67" xfId="0" applyNumberFormat="1" applyFont="1" applyFill="1" applyBorder="1" applyAlignment="1">
      <alignment horizontal="center"/>
    </xf>
    <xf numFmtId="0" fontId="17" fillId="7" borderId="6" xfId="0" applyFont="1" applyFill="1" applyBorder="1" applyAlignment="1">
      <alignment horizontal="center" vertical="center"/>
    </xf>
    <xf numFmtId="0" fontId="20" fillId="3" borderId="6" xfId="0" applyFont="1" applyFill="1" applyBorder="1" applyAlignment="1">
      <alignment horizontal="center" vertical="center"/>
    </xf>
    <xf numFmtId="0" fontId="20" fillId="3" borderId="8" xfId="0" applyFont="1" applyFill="1" applyBorder="1" applyAlignment="1">
      <alignment horizontal="center"/>
    </xf>
    <xf numFmtId="3" fontId="20" fillId="3" borderId="9" xfId="0" applyNumberFormat="1" applyFont="1" applyFill="1" applyBorder="1" applyAlignment="1">
      <alignment horizontal="center"/>
    </xf>
    <xf numFmtId="2" fontId="16" fillId="4" borderId="49" xfId="0" applyNumberFormat="1" applyFont="1" applyFill="1" applyBorder="1" applyAlignment="1">
      <alignment horizontal="center"/>
    </xf>
    <xf numFmtId="2" fontId="16" fillId="12" borderId="35" xfId="0" applyNumberFormat="1" applyFont="1" applyFill="1" applyBorder="1" applyAlignment="1">
      <alignment horizontal="center"/>
    </xf>
    <xf numFmtId="2" fontId="18" fillId="4" borderId="7" xfId="0" applyNumberFormat="1" applyFont="1" applyFill="1" applyBorder="1" applyAlignment="1">
      <alignment horizontal="center"/>
    </xf>
    <xf numFmtId="10" fontId="16" fillId="4" borderId="50" xfId="1" applyNumberFormat="1" applyFont="1" applyFill="1" applyBorder="1" applyAlignment="1">
      <alignment horizontal="right"/>
    </xf>
    <xf numFmtId="0" fontId="20" fillId="3" borderId="8" xfId="0" applyFont="1" applyFill="1" applyBorder="1" applyAlignment="1">
      <alignment horizontal="left"/>
    </xf>
    <xf numFmtId="1" fontId="16" fillId="4" borderId="49" xfId="0" applyNumberFormat="1" applyFont="1" applyFill="1" applyBorder="1" applyAlignment="1">
      <alignment horizontal="center"/>
    </xf>
    <xf numFmtId="1" fontId="16" fillId="12" borderId="35" xfId="0" applyNumberFormat="1" applyFont="1" applyFill="1" applyBorder="1" applyAlignment="1">
      <alignment horizontal="center"/>
    </xf>
    <xf numFmtId="1" fontId="18" fillId="4" borderId="7" xfId="0" applyNumberFormat="1" applyFont="1" applyFill="1" applyBorder="1" applyAlignment="1">
      <alignment horizontal="center"/>
    </xf>
    <xf numFmtId="0" fontId="20" fillId="7" borderId="8" xfId="0" applyFont="1" applyFill="1" applyBorder="1" applyAlignment="1">
      <alignment horizontal="left"/>
    </xf>
    <xf numFmtId="1" fontId="16" fillId="17" borderId="35" xfId="0" applyNumberFormat="1" applyFont="1" applyFill="1" applyBorder="1" applyAlignment="1">
      <alignment horizontal="center"/>
    </xf>
    <xf numFmtId="1" fontId="18" fillId="8" borderId="7" xfId="0" applyNumberFormat="1" applyFont="1" applyFill="1" applyBorder="1" applyAlignment="1">
      <alignment horizontal="center"/>
    </xf>
    <xf numFmtId="0" fontId="20" fillId="3" borderId="16" xfId="0" applyFont="1" applyFill="1" applyBorder="1" applyAlignment="1">
      <alignment horizontal="center" vertical="center"/>
    </xf>
    <xf numFmtId="0" fontId="20" fillId="3" borderId="18" xfId="0" applyFont="1" applyFill="1" applyBorder="1" applyAlignment="1">
      <alignment horizontal="left"/>
    </xf>
    <xf numFmtId="0" fontId="20" fillId="3" borderId="18" xfId="0" applyFont="1" applyFill="1" applyBorder="1" applyAlignment="1">
      <alignment horizontal="center"/>
    </xf>
    <xf numFmtId="3" fontId="20" fillId="3" borderId="19" xfId="0" applyNumberFormat="1" applyFont="1" applyFill="1" applyBorder="1" applyAlignment="1">
      <alignment horizontal="center"/>
    </xf>
    <xf numFmtId="1" fontId="16" fillId="4" borderId="46" xfId="0" applyNumberFormat="1" applyFont="1" applyFill="1" applyBorder="1" applyAlignment="1">
      <alignment horizontal="center"/>
    </xf>
    <xf numFmtId="1" fontId="16" fillId="12" borderId="34" xfId="0" applyNumberFormat="1" applyFont="1" applyFill="1" applyBorder="1" applyAlignment="1">
      <alignment horizontal="center"/>
    </xf>
    <xf numFmtId="1" fontId="18" fillId="4" borderId="17" xfId="0" applyNumberFormat="1" applyFont="1" applyFill="1" applyBorder="1" applyAlignment="1">
      <alignment horizontal="center"/>
    </xf>
    <xf numFmtId="10" fontId="16" fillId="4" borderId="52" xfId="1" applyNumberFormat="1" applyFont="1" applyFill="1" applyBorder="1" applyAlignment="1">
      <alignment horizontal="center"/>
    </xf>
    <xf numFmtId="1" fontId="16" fillId="13" borderId="20" xfId="0" applyNumberFormat="1" applyFont="1" applyFill="1" applyBorder="1" applyAlignment="1">
      <alignment horizontal="left"/>
    </xf>
    <xf numFmtId="2" fontId="16" fillId="4" borderId="46" xfId="0" applyNumberFormat="1" applyFont="1" applyFill="1" applyBorder="1" applyAlignment="1">
      <alignment horizontal="center"/>
    </xf>
    <xf numFmtId="2" fontId="18" fillId="4" borderId="17" xfId="0" applyNumberFormat="1" applyFont="1" applyFill="1" applyBorder="1" applyAlignment="1">
      <alignment horizontal="center"/>
    </xf>
    <xf numFmtId="10" fontId="16" fillId="4" borderId="52" xfId="1" applyNumberFormat="1" applyFont="1" applyFill="1" applyBorder="1" applyAlignment="1">
      <alignment horizontal="right"/>
    </xf>
    <xf numFmtId="2" fontId="18" fillId="7" borderId="16" xfId="0" applyNumberFormat="1" applyFont="1" applyFill="1" applyBorder="1" applyAlignment="1">
      <alignment horizontal="center" vertical="center"/>
    </xf>
    <xf numFmtId="2" fontId="16" fillId="17" borderId="20" xfId="0" applyNumberFormat="1" applyFont="1" applyFill="1" applyBorder="1" applyAlignment="1">
      <alignment horizontal="center"/>
    </xf>
    <xf numFmtId="2" fontId="16" fillId="8" borderId="17" xfId="0" applyNumberFormat="1" applyFont="1" applyFill="1" applyBorder="1" applyAlignment="1">
      <alignment horizontal="center"/>
    </xf>
    <xf numFmtId="9" fontId="16" fillId="8" borderId="52" xfId="1" applyNumberFormat="1" applyFont="1" applyFill="1" applyBorder="1" applyAlignment="1">
      <alignment horizontal="center"/>
    </xf>
    <xf numFmtId="0" fontId="17" fillId="3" borderId="6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left"/>
    </xf>
    <xf numFmtId="3" fontId="18" fillId="3" borderId="9" xfId="0" applyNumberFormat="1" applyFont="1" applyFill="1" applyBorder="1" applyAlignment="1">
      <alignment horizontal="center"/>
    </xf>
    <xf numFmtId="167" fontId="18" fillId="3" borderId="9" xfId="0" applyNumberFormat="1" applyFont="1" applyFill="1" applyBorder="1" applyAlignment="1">
      <alignment horizontal="center"/>
    </xf>
    <xf numFmtId="167" fontId="16" fillId="4" borderId="49" xfId="0" applyNumberFormat="1" applyFont="1" applyFill="1" applyBorder="1" applyAlignment="1">
      <alignment horizontal="center"/>
    </xf>
    <xf numFmtId="167" fontId="16" fillId="4" borderId="41" xfId="0" applyNumberFormat="1" applyFont="1" applyFill="1" applyBorder="1" applyAlignment="1">
      <alignment horizontal="center"/>
    </xf>
    <xf numFmtId="2" fontId="16" fillId="4" borderId="7" xfId="0" applyNumberFormat="1" applyFont="1" applyFill="1" applyBorder="1" applyAlignment="1">
      <alignment horizontal="center"/>
    </xf>
    <xf numFmtId="9" fontId="16" fillId="4" borderId="50" xfId="1" applyNumberFormat="1" applyFont="1" applyFill="1" applyBorder="1" applyAlignment="1">
      <alignment horizontal="center"/>
    </xf>
    <xf numFmtId="0" fontId="16" fillId="10" borderId="58" xfId="0" applyFont="1" applyFill="1" applyBorder="1"/>
    <xf numFmtId="167" fontId="16" fillId="8" borderId="41" xfId="0" applyNumberFormat="1" applyFont="1" applyFill="1" applyBorder="1" applyAlignment="1">
      <alignment horizontal="center"/>
    </xf>
    <xf numFmtId="0" fontId="18" fillId="7" borderId="16" xfId="0" applyFont="1" applyFill="1" applyBorder="1" applyAlignment="1">
      <alignment horizontal="center" vertical="center"/>
    </xf>
    <xf numFmtId="0" fontId="18" fillId="7" borderId="18" xfId="0" applyFont="1" applyFill="1" applyBorder="1" applyAlignment="1">
      <alignment horizontal="left"/>
    </xf>
    <xf numFmtId="164" fontId="16" fillId="8" borderId="17" xfId="0" applyNumberFormat="1" applyFont="1" applyFill="1" applyBorder="1" applyAlignment="1">
      <alignment horizontal="center"/>
    </xf>
    <xf numFmtId="2" fontId="16" fillId="23" borderId="7" xfId="0" applyNumberFormat="1" applyFont="1" applyFill="1" applyBorder="1" applyAlignment="1">
      <alignment horizontal="center"/>
    </xf>
    <xf numFmtId="0" fontId="17" fillId="7" borderId="8" xfId="0" applyFont="1" applyFill="1" applyBorder="1" applyAlignment="1">
      <alignment horizontal="left"/>
    </xf>
    <xf numFmtId="0" fontId="21" fillId="7" borderId="8" xfId="0" applyFont="1" applyFill="1" applyBorder="1" applyAlignment="1">
      <alignment horizontal="left"/>
    </xf>
    <xf numFmtId="0" fontId="18" fillId="7" borderId="6" xfId="0" applyFont="1" applyFill="1" applyBorder="1" applyAlignment="1">
      <alignment horizontal="left" vertical="center"/>
    </xf>
    <xf numFmtId="3" fontId="18" fillId="7" borderId="26" xfId="0" applyNumberFormat="1" applyFont="1" applyFill="1" applyBorder="1" applyAlignment="1">
      <alignment horizontal="center"/>
    </xf>
    <xf numFmtId="4" fontId="16" fillId="10" borderId="46" xfId="0" applyNumberFormat="1" applyFont="1" applyFill="1" applyBorder="1" applyAlignment="1">
      <alignment horizontal="center"/>
    </xf>
    <xf numFmtId="4" fontId="16" fillId="23" borderId="46" xfId="0" applyNumberFormat="1" applyFont="1" applyFill="1" applyBorder="1" applyAlignment="1">
      <alignment horizontal="center"/>
    </xf>
    <xf numFmtId="4" fontId="16" fillId="10" borderId="41" xfId="0" applyNumberFormat="1" applyFont="1" applyFill="1" applyBorder="1" applyAlignment="1">
      <alignment horizontal="center"/>
    </xf>
    <xf numFmtId="4" fontId="16" fillId="10" borderId="54" xfId="0" applyNumberFormat="1" applyFont="1" applyFill="1" applyBorder="1" applyAlignment="1">
      <alignment horizontal="center"/>
    </xf>
    <xf numFmtId="2" fontId="16" fillId="12" borderId="25" xfId="0" applyNumberFormat="1" applyFont="1" applyFill="1" applyBorder="1" applyAlignment="1">
      <alignment horizontal="center"/>
    </xf>
    <xf numFmtId="2" fontId="16" fillId="8" borderId="10" xfId="0" applyNumberFormat="1" applyFont="1" applyFill="1" applyBorder="1" applyAlignment="1">
      <alignment horizontal="center"/>
    </xf>
    <xf numFmtId="2" fontId="16" fillId="4" borderId="10" xfId="0" applyNumberFormat="1" applyFont="1" applyFill="1" applyBorder="1" applyAlignment="1">
      <alignment horizontal="center"/>
    </xf>
    <xf numFmtId="2" fontId="16" fillId="8" borderId="20" xfId="0" applyNumberFormat="1" applyFont="1" applyFill="1" applyBorder="1" applyAlignment="1">
      <alignment horizontal="center"/>
    </xf>
    <xf numFmtId="0" fontId="16" fillId="23" borderId="56" xfId="0" applyFont="1" applyFill="1" applyBorder="1"/>
    <xf numFmtId="1" fontId="2" fillId="5" borderId="51" xfId="0" applyNumberFormat="1" applyFont="1" applyFill="1" applyBorder="1" applyAlignment="1">
      <alignment horizontal="center" vertical="center"/>
    </xf>
    <xf numFmtId="1" fontId="2" fillId="5" borderId="51" xfId="0" applyNumberFormat="1" applyFon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2" fontId="0" fillId="10" borderId="6" xfId="0" applyNumberFormat="1" applyFont="1" applyFill="1" applyBorder="1" applyAlignment="1">
      <alignment horizontal="center"/>
    </xf>
    <xf numFmtId="2" fontId="0" fillId="8" borderId="49" xfId="0" applyNumberFormat="1" applyFont="1" applyFill="1" applyBorder="1" applyAlignment="1">
      <alignment horizontal="center"/>
    </xf>
    <xf numFmtId="2" fontId="0" fillId="10" borderId="41" xfId="0" applyNumberFormat="1" applyFont="1" applyFill="1" applyBorder="1" applyAlignment="1">
      <alignment horizontal="center"/>
    </xf>
    <xf numFmtId="2" fontId="0" fillId="8" borderId="6" xfId="0" applyNumberFormat="1" applyFont="1" applyFill="1" applyBorder="1" applyAlignment="1">
      <alignment horizontal="center"/>
    </xf>
    <xf numFmtId="2" fontId="0" fillId="10" borderId="49" xfId="0" applyNumberFormat="1" applyFont="1" applyFill="1" applyBorder="1" applyAlignment="1">
      <alignment horizontal="center"/>
    </xf>
    <xf numFmtId="2" fontId="0" fillId="0" borderId="0" xfId="0" applyNumberFormat="1"/>
    <xf numFmtId="2" fontId="0" fillId="10" borderId="50" xfId="0" applyNumberFormat="1" applyFont="1" applyFill="1" applyBorder="1" applyAlignment="1">
      <alignment horizontal="center"/>
    </xf>
    <xf numFmtId="2" fontId="4" fillId="9" borderId="7" xfId="0" applyNumberFormat="1" applyFont="1" applyFill="1" applyBorder="1" applyAlignment="1">
      <alignment horizontal="center" vertical="center"/>
    </xf>
    <xf numFmtId="2" fontId="4" fillId="7" borderId="7" xfId="0" applyNumberFormat="1" applyFont="1" applyFill="1" applyBorder="1" applyAlignment="1">
      <alignment horizontal="center" vertical="center"/>
    </xf>
    <xf numFmtId="2" fontId="4" fillId="7" borderId="17" xfId="0" applyNumberFormat="1" applyFont="1" applyFill="1" applyBorder="1" applyAlignment="1">
      <alignment horizontal="center" vertical="center"/>
    </xf>
    <xf numFmtId="2" fontId="0" fillId="10" borderId="46" xfId="0" applyNumberFormat="1" applyFont="1" applyFill="1" applyBorder="1" applyAlignment="1">
      <alignment horizontal="center"/>
    </xf>
    <xf numFmtId="2" fontId="0" fillId="8" borderId="46" xfId="0" applyNumberFormat="1" applyFont="1" applyFill="1" applyBorder="1" applyAlignment="1">
      <alignment horizontal="center"/>
    </xf>
    <xf numFmtId="0" fontId="0" fillId="24" borderId="56" xfId="0" applyFill="1" applyBorder="1" applyAlignment="1">
      <alignment vertical="center"/>
    </xf>
    <xf numFmtId="2" fontId="15" fillId="12" borderId="51" xfId="0" applyNumberFormat="1" applyFont="1" applyFill="1" applyBorder="1" applyAlignment="1">
      <alignment horizontal="center" vertical="center"/>
    </xf>
    <xf numFmtId="166" fontId="16" fillId="16" borderId="28" xfId="0" applyNumberFormat="1" applyFont="1" applyFill="1" applyBorder="1" applyAlignment="1">
      <alignment horizontal="center" vertical="center"/>
    </xf>
    <xf numFmtId="166" fontId="16" fillId="8" borderId="41" xfId="0" applyNumberFormat="1" applyFont="1" applyFill="1" applyBorder="1" applyAlignment="1">
      <alignment horizontal="center" vertical="center"/>
    </xf>
    <xf numFmtId="166" fontId="16" fillId="16" borderId="41" xfId="0" applyNumberFormat="1" applyFont="1" applyFill="1" applyBorder="1" applyAlignment="1">
      <alignment horizontal="center" vertical="center"/>
    </xf>
    <xf numFmtId="2" fontId="16" fillId="8" borderId="7" xfId="0" applyNumberFormat="1" applyFont="1" applyFill="1" applyBorder="1" applyAlignment="1">
      <alignment horizontal="center" vertical="center"/>
    </xf>
    <xf numFmtId="2" fontId="16" fillId="8" borderId="49" xfId="0" applyNumberFormat="1" applyFont="1" applyFill="1" applyBorder="1" applyAlignment="1">
      <alignment horizontal="center" vertical="center"/>
    </xf>
    <xf numFmtId="2" fontId="16" fillId="24" borderId="49" xfId="0" applyNumberFormat="1" applyFont="1" applyFill="1" applyBorder="1" applyAlignment="1">
      <alignment horizontal="center" vertical="center"/>
    </xf>
    <xf numFmtId="2" fontId="16" fillId="8" borderId="41" xfId="0" applyNumberFormat="1" applyFont="1" applyFill="1" applyBorder="1" applyAlignment="1">
      <alignment horizontal="center" vertical="center"/>
    </xf>
    <xf numFmtId="2" fontId="16" fillId="8" borderId="50" xfId="0" applyNumberFormat="1" applyFont="1" applyFill="1" applyBorder="1" applyAlignment="1">
      <alignment horizontal="center" vertical="center"/>
    </xf>
    <xf numFmtId="2" fontId="16" fillId="24" borderId="7" xfId="0" applyNumberFormat="1" applyFont="1" applyFill="1" applyBorder="1" applyAlignment="1">
      <alignment horizontal="center" vertical="center"/>
    </xf>
    <xf numFmtId="2" fontId="16" fillId="8" borderId="17" xfId="0" applyNumberFormat="1" applyFont="1" applyFill="1" applyBorder="1" applyAlignment="1">
      <alignment horizontal="center" vertical="center"/>
    </xf>
    <xf numFmtId="2" fontId="16" fillId="8" borderId="46" xfId="0" applyNumberFormat="1" applyFont="1" applyFill="1" applyBorder="1" applyAlignment="1">
      <alignment horizontal="center" vertical="center"/>
    </xf>
    <xf numFmtId="2" fontId="16" fillId="8" borderId="52" xfId="0" applyNumberFormat="1" applyFont="1" applyFill="1" applyBorder="1" applyAlignment="1">
      <alignment horizontal="center" vertical="center"/>
    </xf>
    <xf numFmtId="2" fontId="16" fillId="24" borderId="17" xfId="0" applyNumberFormat="1" applyFont="1" applyFill="1" applyBorder="1" applyAlignment="1">
      <alignment horizontal="center" vertical="center"/>
    </xf>
    <xf numFmtId="2" fontId="16" fillId="24" borderId="54" xfId="0" applyNumberFormat="1" applyFont="1" applyFill="1" applyBorder="1" applyAlignment="1">
      <alignment horizontal="center" vertical="center"/>
    </xf>
    <xf numFmtId="0" fontId="0" fillId="25" borderId="58" xfId="0" applyFill="1" applyBorder="1" applyAlignment="1">
      <alignment vertical="center"/>
    </xf>
    <xf numFmtId="2" fontId="16" fillId="25" borderId="7" xfId="0" applyNumberFormat="1" applyFont="1" applyFill="1" applyBorder="1" applyAlignment="1">
      <alignment horizontal="center" vertical="center"/>
    </xf>
    <xf numFmtId="2" fontId="16" fillId="24" borderId="52" xfId="0" applyNumberFormat="1" applyFont="1" applyFill="1" applyBorder="1" applyAlignment="1">
      <alignment horizontal="center" vertical="center"/>
    </xf>
    <xf numFmtId="2" fontId="16" fillId="25" borderId="41" xfId="0" applyNumberFormat="1" applyFont="1" applyFill="1" applyBorder="1" applyAlignment="1">
      <alignment horizontal="center" vertical="center"/>
    </xf>
    <xf numFmtId="166" fontId="18" fillId="19" borderId="15" xfId="0" applyNumberFormat="1" applyFont="1" applyFill="1" applyBorder="1" applyAlignment="1">
      <alignment horizontal="center" vertical="center"/>
    </xf>
    <xf numFmtId="166" fontId="18" fillId="19" borderId="32" xfId="0" applyNumberFormat="1" applyFont="1" applyFill="1" applyBorder="1" applyAlignment="1">
      <alignment horizontal="center" vertical="center"/>
    </xf>
    <xf numFmtId="2" fontId="16" fillId="25" borderId="49" xfId="0" applyNumberFormat="1" applyFont="1" applyFill="1" applyBorder="1" applyAlignment="1">
      <alignment horizontal="center" vertical="center"/>
    </xf>
    <xf numFmtId="2" fontId="17" fillId="15" borderId="7" xfId="0" applyNumberFormat="1" applyFont="1" applyFill="1" applyBorder="1" applyAlignment="1">
      <alignment horizontal="center" vertical="center"/>
    </xf>
    <xf numFmtId="2" fontId="16" fillId="16" borderId="49" xfId="0" applyNumberFormat="1" applyFont="1" applyFill="1" applyBorder="1" applyAlignment="1">
      <alignment horizontal="center" vertical="center"/>
    </xf>
    <xf numFmtId="2" fontId="16" fillId="16" borderId="50" xfId="0" applyNumberFormat="1" applyFont="1" applyFill="1" applyBorder="1" applyAlignment="1">
      <alignment horizontal="center" vertical="center"/>
    </xf>
    <xf numFmtId="2" fontId="16" fillId="24" borderId="55" xfId="0" applyNumberFormat="1" applyFont="1" applyFill="1" applyBorder="1" applyAlignment="1">
      <alignment horizontal="center" vertical="center"/>
    </xf>
    <xf numFmtId="2" fontId="16" fillId="24" borderId="50" xfId="0" applyNumberFormat="1" applyFont="1" applyFill="1" applyBorder="1" applyAlignment="1">
      <alignment horizontal="center" vertical="center"/>
    </xf>
    <xf numFmtId="2" fontId="16" fillId="8" borderId="12" xfId="0" applyNumberFormat="1" applyFont="1" applyFill="1" applyBorder="1" applyAlignment="1">
      <alignment horizontal="center" vertical="center"/>
    </xf>
    <xf numFmtId="2" fontId="16" fillId="8" borderId="55" xfId="0" applyNumberFormat="1" applyFont="1" applyFill="1" applyBorder="1" applyAlignment="1">
      <alignment horizontal="center" vertical="center"/>
    </xf>
    <xf numFmtId="2" fontId="16" fillId="25" borderId="55" xfId="0" applyNumberFormat="1" applyFont="1" applyFill="1" applyBorder="1" applyAlignment="1">
      <alignment horizontal="center" vertical="center"/>
    </xf>
    <xf numFmtId="2" fontId="16" fillId="8" borderId="59" xfId="0" applyNumberFormat="1" applyFont="1" applyFill="1" applyBorder="1" applyAlignment="1">
      <alignment horizontal="center" vertical="center"/>
    </xf>
    <xf numFmtId="2" fontId="16" fillId="17" borderId="49" xfId="0" applyNumberFormat="1" applyFont="1" applyFill="1" applyBorder="1" applyAlignment="1">
      <alignment horizontal="center" vertical="center"/>
    </xf>
    <xf numFmtId="2" fontId="16" fillId="17" borderId="7" xfId="0" applyNumberFormat="1" applyFont="1" applyFill="1" applyBorder="1" applyAlignment="1">
      <alignment horizontal="center" vertical="center"/>
    </xf>
    <xf numFmtId="2" fontId="16" fillId="17" borderId="46" xfId="0" applyNumberFormat="1" applyFont="1" applyFill="1" applyBorder="1" applyAlignment="1">
      <alignment horizontal="center" vertical="center"/>
    </xf>
    <xf numFmtId="2" fontId="18" fillId="24" borderId="49" xfId="0" applyNumberFormat="1" applyFont="1" applyFill="1" applyBorder="1" applyAlignment="1">
      <alignment horizontal="center" vertical="center"/>
    </xf>
    <xf numFmtId="2" fontId="0" fillId="0" borderId="63" xfId="0" applyNumberFormat="1" applyBorder="1" applyAlignment="1">
      <alignment vertical="center"/>
    </xf>
    <xf numFmtId="2" fontId="16" fillId="25" borderId="46" xfId="0" applyNumberFormat="1" applyFont="1" applyFill="1" applyBorder="1" applyAlignment="1">
      <alignment horizontal="center" vertical="center"/>
    </xf>
    <xf numFmtId="0" fontId="4" fillId="19" borderId="71" xfId="0" applyFont="1" applyFill="1" applyBorder="1" applyAlignment="1">
      <alignment horizontal="center" vertical="center"/>
    </xf>
    <xf numFmtId="0" fontId="4" fillId="19" borderId="11" xfId="0" applyFont="1" applyFill="1" applyBorder="1" applyAlignment="1">
      <alignment horizontal="center" vertical="center"/>
    </xf>
    <xf numFmtId="0" fontId="4" fillId="19" borderId="13" xfId="0" applyFont="1" applyFill="1" applyBorder="1" applyAlignment="1">
      <alignment horizontal="left" vertical="center" wrapText="1"/>
    </xf>
    <xf numFmtId="0" fontId="4" fillId="7" borderId="13" xfId="0" applyFont="1" applyFill="1" applyBorder="1" applyAlignment="1">
      <alignment horizontal="center" vertical="center"/>
    </xf>
    <xf numFmtId="3" fontId="4" fillId="7" borderId="14" xfId="0" applyNumberFormat="1" applyFont="1" applyFill="1" applyBorder="1" applyAlignment="1">
      <alignment horizontal="center" vertical="center"/>
    </xf>
    <xf numFmtId="2" fontId="0" fillId="8" borderId="55" xfId="0" applyNumberFormat="1" applyFont="1" applyFill="1" applyBorder="1" applyAlignment="1">
      <alignment horizontal="center" vertical="center"/>
    </xf>
    <xf numFmtId="2" fontId="0" fillId="17" borderId="63" xfId="0" applyNumberFormat="1" applyFont="1" applyFill="1" applyBorder="1" applyAlignment="1">
      <alignment horizontal="center" vertical="center"/>
    </xf>
    <xf numFmtId="2" fontId="0" fillId="8" borderId="14" xfId="0" applyNumberFormat="1" applyFont="1" applyFill="1" applyBorder="1" applyAlignment="1">
      <alignment horizontal="center" vertical="center"/>
    </xf>
    <xf numFmtId="164" fontId="0" fillId="4" borderId="46" xfId="0" applyNumberFormat="1" applyFont="1" applyFill="1" applyBorder="1" applyAlignment="1">
      <alignment horizontal="center" vertical="center"/>
    </xf>
    <xf numFmtId="164" fontId="0" fillId="8" borderId="46" xfId="0" applyNumberFormat="1" applyFont="1" applyFill="1" applyBorder="1" applyAlignment="1">
      <alignment horizontal="center" vertical="center"/>
    </xf>
    <xf numFmtId="0" fontId="4" fillId="26" borderId="6" xfId="0" applyFont="1" applyFill="1" applyBorder="1" applyAlignment="1">
      <alignment horizontal="center" vertical="center"/>
    </xf>
    <xf numFmtId="0" fontId="4" fillId="26" borderId="8" xfId="0" applyFont="1" applyFill="1" applyBorder="1" applyAlignment="1">
      <alignment horizontal="left" vertical="center" wrapText="1"/>
    </xf>
    <xf numFmtId="0" fontId="4" fillId="26" borderId="16" xfId="0" applyFont="1" applyFill="1" applyBorder="1" applyAlignment="1">
      <alignment horizontal="center" vertical="center"/>
    </xf>
    <xf numFmtId="0" fontId="4" fillId="26" borderId="18" xfId="0" applyFont="1" applyFill="1" applyBorder="1" applyAlignment="1">
      <alignment horizontal="left" vertical="center" wrapText="1"/>
    </xf>
    <xf numFmtId="2" fontId="0" fillId="8" borderId="20" xfId="0" applyNumberFormat="1" applyFont="1" applyFill="1" applyBorder="1" applyAlignment="1">
      <alignment horizontal="center" vertical="center"/>
    </xf>
    <xf numFmtId="1" fontId="2" fillId="5" borderId="19" xfId="0" applyNumberFormat="1" applyFont="1" applyFill="1" applyBorder="1" applyAlignment="1">
      <alignment horizontal="center" vertical="center" wrapText="1"/>
    </xf>
    <xf numFmtId="2" fontId="0" fillId="4" borderId="29" xfId="0" applyNumberFormat="1" applyFill="1" applyBorder="1" applyAlignment="1">
      <alignment horizontal="center" vertical="center" wrapText="1"/>
    </xf>
    <xf numFmtId="166" fontId="0" fillId="10" borderId="72" xfId="0" applyNumberFormat="1" applyFont="1" applyFill="1" applyBorder="1" applyAlignment="1">
      <alignment horizontal="center"/>
    </xf>
    <xf numFmtId="2" fontId="0" fillId="8" borderId="25" xfId="0" applyNumberFormat="1" applyFont="1" applyFill="1" applyBorder="1" applyAlignment="1">
      <alignment horizontal="center" vertical="center"/>
    </xf>
    <xf numFmtId="2" fontId="0" fillId="8" borderId="15" xfId="0" applyNumberFormat="1" applyFont="1" applyFill="1" applyBorder="1" applyAlignment="1">
      <alignment horizontal="center" vertical="center"/>
    </xf>
    <xf numFmtId="2" fontId="0" fillId="8" borderId="10" xfId="0" applyNumberFormat="1" applyFont="1" applyFill="1" applyBorder="1" applyAlignment="1">
      <alignment horizontal="center" vertical="center"/>
    </xf>
    <xf numFmtId="4" fontId="19" fillId="11" borderId="1" xfId="0" applyNumberFormat="1" applyFont="1" applyFill="1" applyBorder="1" applyAlignment="1">
      <alignment horizontal="center" vertical="center"/>
    </xf>
    <xf numFmtId="4" fontId="19" fillId="11" borderId="73" xfId="0" applyNumberFormat="1" applyFont="1" applyFill="1" applyBorder="1" applyAlignment="1">
      <alignment horizontal="center" vertical="center"/>
    </xf>
    <xf numFmtId="2" fontId="22" fillId="8" borderId="6" xfId="0" applyNumberFormat="1" applyFont="1" applyFill="1" applyBorder="1" applyAlignment="1">
      <alignment horizontal="center"/>
    </xf>
    <xf numFmtId="2" fontId="22" fillId="8" borderId="74" xfId="0" applyNumberFormat="1" applyFont="1" applyFill="1" applyBorder="1" applyAlignment="1">
      <alignment horizontal="center"/>
    </xf>
    <xf numFmtId="2" fontId="22" fillId="8" borderId="16" xfId="0" applyNumberFormat="1" applyFont="1" applyFill="1" applyBorder="1" applyAlignment="1">
      <alignment horizontal="center"/>
    </xf>
    <xf numFmtId="2" fontId="22" fillId="8" borderId="75" xfId="0" applyNumberFormat="1" applyFont="1" applyFill="1" applyBorder="1" applyAlignment="1">
      <alignment horizontal="center"/>
    </xf>
    <xf numFmtId="2" fontId="22" fillId="8" borderId="9" xfId="0" applyNumberFormat="1" applyFont="1" applyFill="1" applyBorder="1" applyAlignment="1">
      <alignment horizontal="center"/>
    </xf>
    <xf numFmtId="1" fontId="22" fillId="8" borderId="41" xfId="0" applyNumberFormat="1" applyFont="1" applyFill="1" applyBorder="1" applyAlignment="1">
      <alignment horizontal="center"/>
    </xf>
    <xf numFmtId="2" fontId="22" fillId="8" borderId="19" xfId="0" applyNumberFormat="1" applyFont="1" applyFill="1" applyBorder="1" applyAlignment="1">
      <alignment horizontal="center"/>
    </xf>
    <xf numFmtId="1" fontId="22" fillId="8" borderId="54" xfId="0" applyNumberFormat="1" applyFont="1" applyFill="1" applyBorder="1" applyAlignment="1">
      <alignment horizontal="center"/>
    </xf>
    <xf numFmtId="0" fontId="3" fillId="11" borderId="45" xfId="0" applyFont="1" applyFill="1" applyBorder="1" applyAlignment="1">
      <alignment horizontal="center" vertical="center"/>
    </xf>
    <xf numFmtId="3" fontId="4" fillId="7" borderId="50" xfId="0" applyNumberFormat="1" applyFont="1" applyFill="1" applyBorder="1" applyAlignment="1">
      <alignment horizontal="center"/>
    </xf>
    <xf numFmtId="3" fontId="4" fillId="7" borderId="52" xfId="0" applyNumberFormat="1" applyFont="1" applyFill="1" applyBorder="1" applyAlignment="1">
      <alignment horizontal="center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44" xfId="0" applyNumberFormat="1" applyFont="1" applyFill="1" applyBorder="1" applyAlignment="1">
      <alignment horizontal="center" vertical="center"/>
    </xf>
    <xf numFmtId="1" fontId="2" fillId="5" borderId="51" xfId="0" applyNumberFormat="1" applyFont="1" applyFill="1" applyBorder="1" applyAlignment="1">
      <alignment horizontal="center" vertical="center"/>
    </xf>
    <xf numFmtId="1" fontId="2" fillId="5" borderId="44" xfId="0" applyNumberFormat="1" applyFont="1" applyFill="1" applyBorder="1" applyAlignment="1">
      <alignment horizontal="center" vertical="center"/>
    </xf>
    <xf numFmtId="1" fontId="2" fillId="5" borderId="1" xfId="0" applyNumberFormat="1" applyFont="1" applyFill="1" applyBorder="1" applyAlignment="1">
      <alignment horizontal="left" vertical="center"/>
    </xf>
    <xf numFmtId="1" fontId="2" fillId="5" borderId="44" xfId="0" applyNumberFormat="1" applyFont="1" applyFill="1" applyBorder="1" applyAlignment="1">
      <alignment horizontal="left" vertical="center"/>
    </xf>
    <xf numFmtId="2" fontId="0" fillId="8" borderId="53" xfId="0" applyNumberFormat="1" applyFont="1" applyFill="1" applyBorder="1" applyAlignment="1">
      <alignment horizontal="center" vertical="center"/>
    </xf>
    <xf numFmtId="2" fontId="0" fillId="8" borderId="33" xfId="0" applyNumberFormat="1" applyFont="1" applyFill="1" applyBorder="1" applyAlignment="1">
      <alignment horizontal="center" vertical="center"/>
    </xf>
    <xf numFmtId="2" fontId="0" fillId="8" borderId="20" xfId="0" applyNumberFormat="1" applyFont="1" applyFill="1" applyBorder="1" applyAlignment="1">
      <alignment horizontal="center" vertical="center"/>
    </xf>
    <xf numFmtId="1" fontId="15" fillId="5" borderId="51" xfId="0" applyNumberFormat="1" applyFont="1" applyFill="1" applyBorder="1" applyAlignment="1">
      <alignment horizontal="center" vertical="center"/>
    </xf>
    <xf numFmtId="1" fontId="15" fillId="5" borderId="44" xfId="0" applyNumberFormat="1" applyFont="1" applyFill="1" applyBorder="1" applyAlignment="1">
      <alignment horizontal="center" vertical="center"/>
    </xf>
  </cellXfs>
  <cellStyles count="2">
    <cellStyle name="Normal" xfId="0" builtinId="0"/>
    <cellStyle name="Porcentagem" xfId="1" builtinId="5"/>
  </cellStyles>
  <dxfs count="30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FFC5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1"/>
  <sheetViews>
    <sheetView showGridLines="0" topLeftCell="A326" zoomScale="85" zoomScaleNormal="85" workbookViewId="0">
      <selection activeCell="G366" sqref="G366"/>
    </sheetView>
  </sheetViews>
  <sheetFormatPr defaultRowHeight="15" x14ac:dyDescent="0.25"/>
  <cols>
    <col min="1" max="1" width="79" customWidth="1"/>
    <col min="2" max="2" width="6.7109375" customWidth="1"/>
    <col min="3" max="3" width="6.140625" customWidth="1"/>
    <col min="4" max="4" width="6" customWidth="1"/>
    <col min="5" max="5" width="15.5703125" bestFit="1" customWidth="1"/>
    <col min="6" max="6" width="6" customWidth="1"/>
    <col min="7" max="7" width="5.7109375" customWidth="1"/>
    <col min="8" max="8" width="6" customWidth="1"/>
    <col min="9" max="10" width="6.85546875" customWidth="1"/>
    <col min="11" max="11" width="69" customWidth="1"/>
    <col min="12" max="12" width="1.7109375" customWidth="1"/>
    <col min="13" max="13" width="9.5703125" customWidth="1"/>
    <col min="14" max="14" width="6.7109375" customWidth="1"/>
    <col min="15" max="15" width="6.140625" customWidth="1"/>
    <col min="21" max="21" width="16.140625" bestFit="1" customWidth="1"/>
  </cols>
  <sheetData>
    <row r="1" spans="1:15" ht="15.75" thickBot="1" x14ac:dyDescent="0.3">
      <c r="A1" s="6"/>
      <c r="B1" s="6"/>
      <c r="C1" s="6"/>
      <c r="D1" s="6"/>
      <c r="E1" s="6"/>
      <c r="F1" s="6"/>
      <c r="G1" s="6"/>
      <c r="H1" s="6"/>
      <c r="I1" s="6"/>
      <c r="J1" s="6"/>
      <c r="K1" s="6"/>
    </row>
    <row r="2" spans="1:15" ht="15.75" thickBot="1" x14ac:dyDescent="0.3">
      <c r="A2" s="129" t="s">
        <v>0</v>
      </c>
      <c r="B2" s="7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9" t="s">
        <v>1</v>
      </c>
      <c r="H2" s="8" t="s">
        <v>6</v>
      </c>
      <c r="I2" s="8" t="s">
        <v>7</v>
      </c>
      <c r="J2" s="8" t="s">
        <v>8</v>
      </c>
      <c r="K2" s="10" t="s">
        <v>9</v>
      </c>
      <c r="M2" s="262" t="s">
        <v>38</v>
      </c>
      <c r="N2" s="612" t="s">
        <v>39</v>
      </c>
      <c r="O2" s="613"/>
    </row>
    <row r="3" spans="1:15" x14ac:dyDescent="0.25">
      <c r="A3" s="266" t="s">
        <v>231</v>
      </c>
      <c r="B3" s="11" t="s">
        <v>37</v>
      </c>
      <c r="C3" s="12"/>
      <c r="D3" s="13"/>
      <c r="E3" s="12"/>
      <c r="F3" s="12"/>
      <c r="G3" s="14"/>
      <c r="H3" s="15"/>
      <c r="I3" s="16">
        <f>SUM(I4:I7)</f>
        <v>57.850800000000007</v>
      </c>
      <c r="J3" s="17">
        <f>SUM(J4:J7)</f>
        <v>1.157016</v>
      </c>
      <c r="K3" s="18"/>
      <c r="M3" s="256">
        <v>58.67</v>
      </c>
      <c r="N3" s="380">
        <f>M3-I3</f>
        <v>0.81919999999999504</v>
      </c>
      <c r="O3" s="381">
        <f>N3/M3</f>
        <v>1.3962843020282854E-2</v>
      </c>
    </row>
    <row r="4" spans="1:15" x14ac:dyDescent="0.25">
      <c r="A4" s="379" t="s">
        <v>192</v>
      </c>
      <c r="B4" s="2"/>
      <c r="C4" s="57">
        <f>1.1785+3.2+1.1645+0.277</f>
        <v>5.8200000000000012</v>
      </c>
      <c r="D4" s="57">
        <v>2.9750000000000001</v>
      </c>
      <c r="E4" s="57">
        <v>0.02</v>
      </c>
      <c r="F4" s="3"/>
      <c r="G4" s="23"/>
      <c r="H4" s="3"/>
      <c r="I4" s="3">
        <f>C4*D4</f>
        <v>17.314500000000002</v>
      </c>
      <c r="J4" s="3">
        <f>I4*E4</f>
        <v>0.34629000000000004</v>
      </c>
      <c r="K4" s="21"/>
      <c r="M4" s="267"/>
      <c r="N4" s="24"/>
      <c r="O4" s="246"/>
    </row>
    <row r="5" spans="1:15" x14ac:dyDescent="0.25">
      <c r="A5" s="379" t="s">
        <v>193</v>
      </c>
      <c r="B5" s="2"/>
      <c r="C5" s="57">
        <f>2.84+2.98</f>
        <v>5.82</v>
      </c>
      <c r="D5" s="57">
        <v>1.9950000000000001</v>
      </c>
      <c r="E5" s="57">
        <v>0.02</v>
      </c>
      <c r="F5" s="3"/>
      <c r="G5" s="23"/>
      <c r="H5" s="3"/>
      <c r="I5" s="3">
        <f>C5*D5</f>
        <v>11.610900000000001</v>
      </c>
      <c r="J5" s="3">
        <f>I5*E5</f>
        <v>0.23221800000000004</v>
      </c>
      <c r="K5" s="21"/>
      <c r="M5" s="267"/>
      <c r="N5" s="24"/>
      <c r="O5" s="246"/>
    </row>
    <row r="6" spans="1:15" x14ac:dyDescent="0.25">
      <c r="A6" s="379" t="s">
        <v>194</v>
      </c>
      <c r="B6" s="2"/>
      <c r="C6" s="57">
        <f>2.312+3.508</f>
        <v>5.82</v>
      </c>
      <c r="D6" s="57">
        <v>2.9750000000000001</v>
      </c>
      <c r="E6" s="57">
        <v>0.02</v>
      </c>
      <c r="F6" s="3"/>
      <c r="G6" s="23"/>
      <c r="H6" s="3"/>
      <c r="I6" s="3">
        <f>C6*D6</f>
        <v>17.314500000000002</v>
      </c>
      <c r="J6" s="3">
        <f>I6*E6</f>
        <v>0.34629000000000004</v>
      </c>
      <c r="K6" s="21"/>
      <c r="M6" s="267"/>
      <c r="N6" s="24"/>
      <c r="O6" s="246"/>
    </row>
    <row r="7" spans="1:15" x14ac:dyDescent="0.25">
      <c r="A7" s="379" t="s">
        <v>195</v>
      </c>
      <c r="B7" s="2"/>
      <c r="C7" s="57">
        <f>0.275+1.1665+3.2+1.1785</f>
        <v>5.82</v>
      </c>
      <c r="D7" s="57">
        <v>1.9950000000000001</v>
      </c>
      <c r="E7" s="57">
        <v>0.02</v>
      </c>
      <c r="F7" s="3"/>
      <c r="G7" s="23"/>
      <c r="H7" s="3"/>
      <c r="I7" s="3">
        <f>C7*D7</f>
        <v>11.610900000000001</v>
      </c>
      <c r="J7" s="3">
        <f>I7*E7</f>
        <v>0.23221800000000004</v>
      </c>
      <c r="K7" s="21"/>
      <c r="M7" s="267"/>
      <c r="N7" s="24"/>
      <c r="O7" s="246"/>
    </row>
    <row r="8" spans="1:15" x14ac:dyDescent="0.25">
      <c r="A8" s="266" t="s">
        <v>11</v>
      </c>
      <c r="B8" s="11" t="s">
        <v>1</v>
      </c>
      <c r="C8" s="12"/>
      <c r="D8" s="12"/>
      <c r="E8" s="12"/>
      <c r="F8" s="12"/>
      <c r="G8" s="19">
        <f>SUM(G9:G10)</f>
        <v>8</v>
      </c>
      <c r="H8" s="12"/>
      <c r="I8" s="12"/>
      <c r="J8" s="17">
        <f>SUM(J9:J10)</f>
        <v>8.6399999999999997E-4</v>
      </c>
      <c r="K8" s="18"/>
      <c r="M8" s="378">
        <f>4+4</f>
        <v>8</v>
      </c>
      <c r="N8" s="113">
        <f>M8-G8</f>
        <v>0</v>
      </c>
      <c r="O8" s="248">
        <f>N8/M8</f>
        <v>0</v>
      </c>
    </row>
    <row r="9" spans="1:15" x14ac:dyDescent="0.25">
      <c r="A9" s="20" t="s">
        <v>12</v>
      </c>
      <c r="B9" s="2"/>
      <c r="C9" s="3">
        <v>0.09</v>
      </c>
      <c r="D9" s="3">
        <v>0.12</v>
      </c>
      <c r="E9" s="3">
        <v>0.01</v>
      </c>
      <c r="F9" s="3"/>
      <c r="G9" s="4">
        <f>2+2</f>
        <v>4</v>
      </c>
      <c r="H9" s="5"/>
      <c r="I9" s="3">
        <f>C9*D9*G9</f>
        <v>4.3199999999999995E-2</v>
      </c>
      <c r="J9" s="3">
        <f>I9*E9</f>
        <v>4.3199999999999998E-4</v>
      </c>
      <c r="K9" s="21"/>
      <c r="M9" s="245"/>
      <c r="N9" s="24"/>
      <c r="O9" s="246"/>
    </row>
    <row r="10" spans="1:15" x14ac:dyDescent="0.25">
      <c r="A10" s="20" t="s">
        <v>13</v>
      </c>
      <c r="B10" s="2"/>
      <c r="C10" s="3">
        <v>0.09</v>
      </c>
      <c r="D10" s="3">
        <v>0.12</v>
      </c>
      <c r="E10" s="3">
        <v>0.01</v>
      </c>
      <c r="F10" s="3"/>
      <c r="G10" s="4">
        <f>2+2</f>
        <v>4</v>
      </c>
      <c r="H10" s="5"/>
      <c r="I10" s="3">
        <f>C10*D10*G10</f>
        <v>4.3199999999999995E-2</v>
      </c>
      <c r="J10" s="3">
        <f>I10*E10</f>
        <v>4.3199999999999998E-4</v>
      </c>
      <c r="K10" s="21"/>
      <c r="M10" s="245"/>
      <c r="N10" s="24"/>
      <c r="O10" s="246"/>
    </row>
    <row r="11" spans="1:15" x14ac:dyDescent="0.25">
      <c r="A11" s="266" t="s">
        <v>14</v>
      </c>
      <c r="B11" s="11" t="s">
        <v>1</v>
      </c>
      <c r="C11" s="12"/>
      <c r="D11" s="12"/>
      <c r="E11" s="12"/>
      <c r="F11" s="12"/>
      <c r="G11" s="19">
        <f>SUM(G12:G16)</f>
        <v>12</v>
      </c>
      <c r="H11" s="15"/>
      <c r="I11" s="12"/>
      <c r="J11" s="17">
        <f>SUM(J12:J16)</f>
        <v>1.2006400000000002</v>
      </c>
      <c r="K11" s="18"/>
      <c r="M11" s="247">
        <f>4+4+4</f>
        <v>12</v>
      </c>
      <c r="N11" s="113">
        <f>M11-G11</f>
        <v>0</v>
      </c>
      <c r="O11" s="248">
        <f>N11/M11</f>
        <v>0</v>
      </c>
    </row>
    <row r="12" spans="1:15" x14ac:dyDescent="0.25">
      <c r="A12" s="20" t="s">
        <v>15</v>
      </c>
      <c r="B12" s="2"/>
      <c r="C12" s="3">
        <v>0.6</v>
      </c>
      <c r="D12" s="3">
        <v>0.6</v>
      </c>
      <c r="E12" s="3">
        <v>0.05</v>
      </c>
      <c r="F12" s="3"/>
      <c r="G12" s="4"/>
      <c r="H12" s="5"/>
      <c r="I12" s="3">
        <f>C12*D12*G12</f>
        <v>0</v>
      </c>
      <c r="J12" s="3">
        <f>I12*E12</f>
        <v>0</v>
      </c>
      <c r="K12" s="21"/>
      <c r="M12" s="245"/>
      <c r="N12" s="24"/>
      <c r="O12" s="246"/>
    </row>
    <row r="13" spans="1:15" x14ac:dyDescent="0.25">
      <c r="A13" s="20" t="s">
        <v>228</v>
      </c>
      <c r="B13" s="2"/>
      <c r="C13" s="3">
        <v>2.9750000000000001</v>
      </c>
      <c r="D13" s="3">
        <v>0.6</v>
      </c>
      <c r="E13" s="3">
        <v>0.1</v>
      </c>
      <c r="F13" s="3"/>
      <c r="G13" s="4">
        <f>2+2</f>
        <v>4</v>
      </c>
      <c r="H13" s="5"/>
      <c r="I13" s="3">
        <f>C13*D13*G13</f>
        <v>7.14</v>
      </c>
      <c r="J13" s="3">
        <f>I13*E13</f>
        <v>0.71399999999999997</v>
      </c>
      <c r="K13" s="21"/>
      <c r="M13" s="245"/>
      <c r="N13" s="24"/>
      <c r="O13" s="246"/>
    </row>
    <row r="14" spans="1:15" x14ac:dyDescent="0.25">
      <c r="A14" s="20" t="s">
        <v>228</v>
      </c>
      <c r="B14" s="2"/>
      <c r="C14" s="3">
        <v>1.9950000000000001</v>
      </c>
      <c r="D14" s="3">
        <v>0.6</v>
      </c>
      <c r="E14" s="3">
        <v>0.1</v>
      </c>
      <c r="F14" s="3"/>
      <c r="G14" s="4">
        <f>2+2</f>
        <v>4</v>
      </c>
      <c r="H14" s="5"/>
      <c r="I14" s="3">
        <f>C14*D14*G14</f>
        <v>4.7880000000000003</v>
      </c>
      <c r="J14" s="3">
        <f>I14*E14</f>
        <v>0.47880000000000006</v>
      </c>
      <c r="K14" s="21"/>
      <c r="M14" s="245"/>
      <c r="N14" s="24"/>
      <c r="O14" s="246"/>
    </row>
    <row r="15" spans="1:15" x14ac:dyDescent="0.25">
      <c r="A15" s="20" t="s">
        <v>16</v>
      </c>
      <c r="B15" s="2"/>
      <c r="C15" s="3">
        <v>0.14000000000000001</v>
      </c>
      <c r="D15" s="3">
        <v>0.14000000000000001</v>
      </c>
      <c r="E15" s="3">
        <v>0.1</v>
      </c>
      <c r="F15" s="3"/>
      <c r="G15" s="4">
        <f>2+2</f>
        <v>4</v>
      </c>
      <c r="H15" s="5"/>
      <c r="I15" s="3">
        <f>C15*D15*G15</f>
        <v>7.8400000000000011E-2</v>
      </c>
      <c r="J15" s="3">
        <f>I15*E15</f>
        <v>7.8400000000000015E-3</v>
      </c>
      <c r="K15" s="21"/>
      <c r="M15" s="245"/>
      <c r="N15" s="24"/>
      <c r="O15" s="246"/>
    </row>
    <row r="16" spans="1:15" x14ac:dyDescent="0.25">
      <c r="A16" s="20" t="s">
        <v>17</v>
      </c>
      <c r="B16" s="2"/>
      <c r="C16" s="3">
        <v>0.6</v>
      </c>
      <c r="D16" s="3">
        <v>0.14000000000000001</v>
      </c>
      <c r="E16" s="3">
        <v>0.05</v>
      </c>
      <c r="F16" s="3"/>
      <c r="G16" s="4"/>
      <c r="H16" s="5"/>
      <c r="I16" s="3">
        <f>C16*D16*G16</f>
        <v>0</v>
      </c>
      <c r="J16" s="3">
        <f>I16*E16</f>
        <v>0</v>
      </c>
      <c r="K16" s="21"/>
      <c r="M16" s="245"/>
      <c r="N16" s="24"/>
      <c r="O16" s="246"/>
    </row>
    <row r="17" spans="1:15" x14ac:dyDescent="0.25">
      <c r="A17" s="266" t="s">
        <v>20</v>
      </c>
      <c r="B17" s="11" t="s">
        <v>1</v>
      </c>
      <c r="C17" s="12"/>
      <c r="D17" s="12"/>
      <c r="E17" s="12"/>
      <c r="F17" s="12"/>
      <c r="G17" s="19">
        <f>SUM(G18:G21)</f>
        <v>30</v>
      </c>
      <c r="H17" s="12"/>
      <c r="I17" s="12"/>
      <c r="J17" s="17">
        <f>SUM(J18:J20)</f>
        <v>1.1037840000000001</v>
      </c>
      <c r="K17" s="18"/>
      <c r="M17" s="247">
        <f>SUM(M18:M21)</f>
        <v>30</v>
      </c>
      <c r="N17" s="113">
        <f t="shared" ref="N17:N22" si="0">M17-G17</f>
        <v>0</v>
      </c>
      <c r="O17" s="248">
        <f t="shared" ref="O17:O22" si="1">N17/M17</f>
        <v>0</v>
      </c>
    </row>
    <row r="18" spans="1:15" x14ac:dyDescent="0.25">
      <c r="A18" s="20" t="s">
        <v>21</v>
      </c>
      <c r="B18" s="2"/>
      <c r="C18" s="3">
        <v>0.47</v>
      </c>
      <c r="D18" s="3">
        <v>0.43</v>
      </c>
      <c r="E18" s="3">
        <v>0.13</v>
      </c>
      <c r="F18" s="3"/>
      <c r="G18" s="23">
        <v>8</v>
      </c>
      <c r="H18" s="5"/>
      <c r="I18" s="3"/>
      <c r="J18" s="3">
        <f>C18*E18*D18*G18</f>
        <v>0.21018400000000001</v>
      </c>
      <c r="K18" s="21"/>
      <c r="M18" s="257">
        <v>8</v>
      </c>
      <c r="N18" s="122">
        <f t="shared" si="0"/>
        <v>0</v>
      </c>
      <c r="O18" s="246">
        <f t="shared" si="1"/>
        <v>0</v>
      </c>
    </row>
    <row r="19" spans="1:15" x14ac:dyDescent="0.25">
      <c r="A19" s="104" t="s">
        <v>90</v>
      </c>
      <c r="B19" s="108"/>
      <c r="C19" s="57">
        <v>0.65</v>
      </c>
      <c r="D19" s="57">
        <v>0.15</v>
      </c>
      <c r="E19" s="57">
        <v>0.12</v>
      </c>
      <c r="F19" s="57"/>
      <c r="G19" s="73">
        <v>8</v>
      </c>
      <c r="H19" s="74"/>
      <c r="I19" s="57"/>
      <c r="J19" s="57">
        <f>C19*E19*D19*G19</f>
        <v>9.3600000000000003E-2</v>
      </c>
      <c r="K19" s="21"/>
      <c r="M19" s="257">
        <v>8</v>
      </c>
      <c r="N19" s="122">
        <f t="shared" si="0"/>
        <v>0</v>
      </c>
      <c r="O19" s="246">
        <f t="shared" si="1"/>
        <v>0</v>
      </c>
    </row>
    <row r="20" spans="1:15" x14ac:dyDescent="0.25">
      <c r="A20" s="20" t="s">
        <v>22</v>
      </c>
      <c r="B20" s="2"/>
      <c r="C20" s="3">
        <v>0.4</v>
      </c>
      <c r="D20" s="3">
        <v>0.5</v>
      </c>
      <c r="E20" s="3">
        <v>0.4</v>
      </c>
      <c r="F20" s="3"/>
      <c r="G20" s="23">
        <v>10</v>
      </c>
      <c r="H20" s="5"/>
      <c r="I20" s="3"/>
      <c r="J20" s="3">
        <f>C20*E20*D20*G20</f>
        <v>0.80000000000000016</v>
      </c>
      <c r="K20" s="21"/>
      <c r="M20" s="257">
        <v>10</v>
      </c>
      <c r="N20" s="122">
        <f t="shared" si="0"/>
        <v>0</v>
      </c>
      <c r="O20" s="246">
        <f t="shared" si="1"/>
        <v>0</v>
      </c>
    </row>
    <row r="21" spans="1:15" x14ac:dyDescent="0.25">
      <c r="A21" s="20" t="s">
        <v>222</v>
      </c>
      <c r="B21" s="2"/>
      <c r="C21" s="3">
        <v>0.6</v>
      </c>
      <c r="D21" s="3">
        <v>0.38</v>
      </c>
      <c r="E21" s="3">
        <v>0.35</v>
      </c>
      <c r="F21" s="3"/>
      <c r="G21" s="23">
        <v>4</v>
      </c>
      <c r="H21" s="5"/>
      <c r="I21" s="3"/>
      <c r="J21" s="3">
        <f>C21*E21*D21*G21</f>
        <v>0.31919999999999998</v>
      </c>
      <c r="K21" s="21"/>
      <c r="M21" s="257">
        <v>4</v>
      </c>
      <c r="N21" s="122">
        <f t="shared" si="0"/>
        <v>0</v>
      </c>
      <c r="O21" s="246">
        <f t="shared" si="1"/>
        <v>0</v>
      </c>
    </row>
    <row r="22" spans="1:15" x14ac:dyDescent="0.25">
      <c r="A22" s="266" t="s">
        <v>23</v>
      </c>
      <c r="B22" s="11" t="s">
        <v>1</v>
      </c>
      <c r="C22" s="12"/>
      <c r="D22" s="12"/>
      <c r="E22" s="12"/>
      <c r="F22" s="12"/>
      <c r="G22" s="19">
        <f>SUM(G23)</f>
        <v>12</v>
      </c>
      <c r="H22" s="15"/>
      <c r="I22" s="15"/>
      <c r="J22" s="17">
        <f>SUM(J23)</f>
        <v>8.1119999999999994E-3</v>
      </c>
      <c r="K22" s="18"/>
      <c r="M22" s="247">
        <v>12</v>
      </c>
      <c r="N22" s="113">
        <f t="shared" si="0"/>
        <v>0</v>
      </c>
      <c r="O22" s="248">
        <f t="shared" si="1"/>
        <v>0</v>
      </c>
    </row>
    <row r="23" spans="1:15" x14ac:dyDescent="0.25">
      <c r="A23" s="20" t="s">
        <v>24</v>
      </c>
      <c r="B23" s="2"/>
      <c r="C23" s="3">
        <v>0.13</v>
      </c>
      <c r="D23" s="3">
        <v>0.13</v>
      </c>
      <c r="E23" s="3">
        <v>0.04</v>
      </c>
      <c r="F23" s="3"/>
      <c r="G23" s="23">
        <f>6+6</f>
        <v>12</v>
      </c>
      <c r="H23" s="5"/>
      <c r="I23" s="3"/>
      <c r="J23" s="3">
        <f>G23*E23*C23*D23</f>
        <v>8.1119999999999994E-3</v>
      </c>
      <c r="K23" s="21"/>
      <c r="M23" s="245"/>
      <c r="N23" s="24"/>
      <c r="O23" s="246"/>
    </row>
    <row r="24" spans="1:15" x14ac:dyDescent="0.25">
      <c r="A24" s="266" t="s">
        <v>25</v>
      </c>
      <c r="B24" s="11" t="s">
        <v>1</v>
      </c>
      <c r="C24" s="12"/>
      <c r="D24" s="12"/>
      <c r="E24" s="12"/>
      <c r="F24" s="12"/>
      <c r="G24" s="19">
        <f>SUM(G25:G32)</f>
        <v>57</v>
      </c>
      <c r="H24" s="12"/>
      <c r="I24" s="12"/>
      <c r="J24" s="17">
        <f>SUM(J25:J32)</f>
        <v>0.35334200000000004</v>
      </c>
      <c r="K24" s="18"/>
      <c r="M24" s="247">
        <f>SUM(M25:M32)</f>
        <v>57</v>
      </c>
      <c r="N24" s="113">
        <f t="shared" ref="N24:N32" si="2">M24-G24</f>
        <v>0</v>
      </c>
      <c r="O24" s="248">
        <f t="shared" ref="O24:O33" si="3">N24/M24</f>
        <v>0</v>
      </c>
    </row>
    <row r="25" spans="1:15" x14ac:dyDescent="0.25">
      <c r="A25" s="20" t="s">
        <v>92</v>
      </c>
      <c r="B25" s="2"/>
      <c r="C25" s="57">
        <v>0.06</v>
      </c>
      <c r="D25" s="57">
        <v>0.06</v>
      </c>
      <c r="E25" s="57">
        <v>0.06</v>
      </c>
      <c r="F25" s="3"/>
      <c r="G25" s="23">
        <v>13</v>
      </c>
      <c r="H25" s="5"/>
      <c r="I25" s="3"/>
      <c r="J25" s="3">
        <f t="shared" ref="J25:J31" si="4">C25*E25*D25*G25</f>
        <v>2.8079999999999997E-3</v>
      </c>
      <c r="K25" s="21"/>
      <c r="M25" s="377">
        <v>13</v>
      </c>
      <c r="N25" s="122">
        <f t="shared" si="2"/>
        <v>0</v>
      </c>
      <c r="O25" s="246">
        <f t="shared" si="3"/>
        <v>0</v>
      </c>
    </row>
    <row r="26" spans="1:15" x14ac:dyDescent="0.25">
      <c r="A26" s="20" t="s">
        <v>40</v>
      </c>
      <c r="B26" s="2"/>
      <c r="C26" s="3">
        <v>0.25</v>
      </c>
      <c r="D26" s="3">
        <v>0.25</v>
      </c>
      <c r="E26" s="3">
        <v>0.25</v>
      </c>
      <c r="F26" s="3"/>
      <c r="G26" s="23">
        <f>3+3</f>
        <v>6</v>
      </c>
      <c r="H26" s="5"/>
      <c r="I26" s="3"/>
      <c r="J26" s="3">
        <f t="shared" si="4"/>
        <v>9.375E-2</v>
      </c>
      <c r="K26" s="21"/>
      <c r="M26" s="377">
        <v>6</v>
      </c>
      <c r="N26" s="122">
        <f t="shared" si="2"/>
        <v>0</v>
      </c>
      <c r="O26" s="246">
        <f t="shared" si="3"/>
        <v>0</v>
      </c>
    </row>
    <row r="27" spans="1:15" x14ac:dyDescent="0.25">
      <c r="A27" s="20" t="s">
        <v>221</v>
      </c>
      <c r="B27" s="2"/>
      <c r="C27" s="3">
        <v>0.12</v>
      </c>
      <c r="D27" s="3">
        <v>0.12</v>
      </c>
      <c r="E27" s="3">
        <v>0.05</v>
      </c>
      <c r="F27" s="3"/>
      <c r="G27" s="23">
        <f>5+5</f>
        <v>10</v>
      </c>
      <c r="H27" s="5"/>
      <c r="I27" s="3"/>
      <c r="J27" s="3">
        <f t="shared" si="4"/>
        <v>7.1999999999999998E-3</v>
      </c>
      <c r="K27" s="21"/>
      <c r="M27" s="377">
        <v>10</v>
      </c>
      <c r="N27" s="122">
        <f t="shared" si="2"/>
        <v>0</v>
      </c>
      <c r="O27" s="246">
        <f t="shared" si="3"/>
        <v>0</v>
      </c>
    </row>
    <row r="28" spans="1:15" x14ac:dyDescent="0.25">
      <c r="A28" s="20" t="s">
        <v>224</v>
      </c>
      <c r="B28" s="2"/>
      <c r="C28" s="3">
        <v>0.12</v>
      </c>
      <c r="D28" s="3">
        <v>0.12</v>
      </c>
      <c r="E28" s="3">
        <v>0.12</v>
      </c>
      <c r="F28" s="3"/>
      <c r="G28" s="23">
        <f>2+1</f>
        <v>3</v>
      </c>
      <c r="H28" s="5"/>
      <c r="I28" s="3"/>
      <c r="J28" s="3">
        <f>C28*E28*D28*G28</f>
        <v>5.1839999999999994E-3</v>
      </c>
      <c r="K28" s="21"/>
      <c r="M28" s="377">
        <v>3</v>
      </c>
      <c r="N28" s="122">
        <f t="shared" si="2"/>
        <v>0</v>
      </c>
      <c r="O28" s="246">
        <f t="shared" si="3"/>
        <v>0</v>
      </c>
    </row>
    <row r="29" spans="1:15" x14ac:dyDescent="0.25">
      <c r="A29" s="20" t="s">
        <v>26</v>
      </c>
      <c r="B29" s="2"/>
      <c r="C29" s="3">
        <v>0.5</v>
      </c>
      <c r="D29" s="3">
        <v>0.6</v>
      </c>
      <c r="E29" s="24">
        <v>4.0000000000000001E-3</v>
      </c>
      <c r="F29" s="3"/>
      <c r="G29" s="23">
        <f>4+3</f>
        <v>7</v>
      </c>
      <c r="H29" s="5"/>
      <c r="I29" s="3"/>
      <c r="J29" s="3">
        <f t="shared" si="4"/>
        <v>8.3999999999999995E-3</v>
      </c>
      <c r="K29" s="21"/>
      <c r="M29" s="377">
        <v>7</v>
      </c>
      <c r="N29" s="122">
        <f t="shared" si="2"/>
        <v>0</v>
      </c>
      <c r="O29" s="246">
        <f t="shared" si="3"/>
        <v>0</v>
      </c>
    </row>
    <row r="30" spans="1:15" x14ac:dyDescent="0.25">
      <c r="A30" s="20" t="s">
        <v>225</v>
      </c>
      <c r="B30" s="2"/>
      <c r="C30" s="3">
        <v>0.2</v>
      </c>
      <c r="D30" s="3">
        <v>0.2</v>
      </c>
      <c r="E30" s="3">
        <v>0.17</v>
      </c>
      <c r="F30" s="3"/>
      <c r="G30" s="23">
        <f>5+5</f>
        <v>10</v>
      </c>
      <c r="H30" s="5"/>
      <c r="I30" s="3"/>
      <c r="J30" s="3">
        <f t="shared" si="4"/>
        <v>6.8000000000000005E-2</v>
      </c>
      <c r="K30" s="21"/>
      <c r="M30" s="377">
        <v>10</v>
      </c>
      <c r="N30" s="122">
        <f t="shared" si="2"/>
        <v>0</v>
      </c>
      <c r="O30" s="246">
        <f t="shared" si="3"/>
        <v>0</v>
      </c>
    </row>
    <row r="31" spans="1:15" x14ac:dyDescent="0.25">
      <c r="A31" s="20" t="s">
        <v>42</v>
      </c>
      <c r="B31" s="2"/>
      <c r="C31" s="3">
        <v>0.4</v>
      </c>
      <c r="D31" s="3">
        <v>0.5</v>
      </c>
      <c r="E31" s="3">
        <v>0.2</v>
      </c>
      <c r="F31" s="3"/>
      <c r="G31" s="23">
        <f>2+2</f>
        <v>4</v>
      </c>
      <c r="H31" s="5"/>
      <c r="I31" s="3"/>
      <c r="J31" s="3">
        <f t="shared" si="4"/>
        <v>0.16000000000000003</v>
      </c>
      <c r="K31" s="21"/>
      <c r="M31" s="377">
        <v>4</v>
      </c>
      <c r="N31" s="122">
        <f t="shared" si="2"/>
        <v>0</v>
      </c>
      <c r="O31" s="246">
        <f t="shared" si="3"/>
        <v>0</v>
      </c>
    </row>
    <row r="32" spans="1:15" x14ac:dyDescent="0.25">
      <c r="A32" s="20" t="s">
        <v>223</v>
      </c>
      <c r="B32" s="2"/>
      <c r="C32" s="3">
        <v>0.1</v>
      </c>
      <c r="D32" s="3">
        <v>0.1</v>
      </c>
      <c r="E32" s="3">
        <v>0.2</v>
      </c>
      <c r="F32" s="3"/>
      <c r="G32" s="23">
        <f>2+2</f>
        <v>4</v>
      </c>
      <c r="H32" s="5"/>
      <c r="I32" s="3"/>
      <c r="J32" s="3">
        <f>C32*E32*D32*G32</f>
        <v>8.0000000000000019E-3</v>
      </c>
      <c r="K32" s="21"/>
      <c r="M32" s="377">
        <v>4</v>
      </c>
      <c r="N32" s="122">
        <f t="shared" si="2"/>
        <v>0</v>
      </c>
      <c r="O32" s="246">
        <f t="shared" si="3"/>
        <v>0</v>
      </c>
    </row>
    <row r="33" spans="1:15" x14ac:dyDescent="0.25">
      <c r="A33" s="266" t="s">
        <v>218</v>
      </c>
      <c r="B33" s="11" t="s">
        <v>37</v>
      </c>
      <c r="C33" s="12"/>
      <c r="D33" s="12"/>
      <c r="E33" s="12"/>
      <c r="F33" s="12"/>
      <c r="G33" s="44">
        <f>SUM(G40)</f>
        <v>1</v>
      </c>
      <c r="H33" s="15"/>
      <c r="I33" s="16">
        <f>SUM(I34:I49)</f>
        <v>33.927950000000003</v>
      </c>
      <c r="J33" s="17">
        <f>SUM(J34:J49)</f>
        <v>1.0178384999999999</v>
      </c>
      <c r="K33" s="18"/>
      <c r="M33" s="256">
        <f>21.19+(10*0.63*2)</f>
        <v>33.79</v>
      </c>
      <c r="N33" s="13">
        <f>M33-I33</f>
        <v>-0.13795000000000357</v>
      </c>
      <c r="O33" s="248">
        <f t="shared" si="3"/>
        <v>-4.0825688073395554E-3</v>
      </c>
    </row>
    <row r="34" spans="1:15" x14ac:dyDescent="0.25">
      <c r="A34" s="379" t="s">
        <v>192</v>
      </c>
      <c r="B34" s="2"/>
      <c r="C34" s="57"/>
      <c r="D34" s="57"/>
      <c r="E34" s="57"/>
      <c r="F34" s="3"/>
      <c r="G34" s="23"/>
      <c r="H34" s="3"/>
      <c r="I34" s="3"/>
      <c r="J34" s="3"/>
      <c r="K34" s="21"/>
      <c r="M34" s="267"/>
      <c r="N34" s="24"/>
      <c r="O34" s="246"/>
    </row>
    <row r="35" spans="1:15" x14ac:dyDescent="0.25">
      <c r="A35" s="20" t="s">
        <v>219</v>
      </c>
      <c r="B35" s="2"/>
      <c r="C35" s="57">
        <f>0.4858+0.5008+0.5008+0.5005+0.5008+0.4858</f>
        <v>2.9744999999999999</v>
      </c>
      <c r="D35" s="57">
        <v>2</v>
      </c>
      <c r="E35" s="57"/>
      <c r="F35" s="3">
        <v>0.03</v>
      </c>
      <c r="G35" s="23"/>
      <c r="H35" s="3"/>
      <c r="I35" s="3">
        <f>C35*D35</f>
        <v>5.9489999999999998</v>
      </c>
      <c r="J35" s="3">
        <f>I35*F35</f>
        <v>0.17846999999999999</v>
      </c>
      <c r="K35" s="21"/>
      <c r="M35" s="267"/>
      <c r="N35" s="24"/>
      <c r="O35" s="246"/>
    </row>
    <row r="36" spans="1:15" x14ac:dyDescent="0.25">
      <c r="A36" s="20" t="s">
        <v>220</v>
      </c>
      <c r="B36" s="2"/>
      <c r="C36" s="57">
        <v>1.2649999999999999</v>
      </c>
      <c r="D36" s="57">
        <v>1.85</v>
      </c>
      <c r="E36" s="57"/>
      <c r="F36" s="3">
        <v>0.03</v>
      </c>
      <c r="G36" s="23">
        <v>2</v>
      </c>
      <c r="H36" s="3"/>
      <c r="I36" s="3">
        <f>C36*D36*G36</f>
        <v>4.6804999999999994</v>
      </c>
      <c r="J36" s="3">
        <f>I36*F36</f>
        <v>0.14041499999999998</v>
      </c>
      <c r="K36" s="21"/>
      <c r="M36" s="267"/>
      <c r="N36" s="24"/>
      <c r="O36" s="246"/>
    </row>
    <row r="37" spans="1:15" x14ac:dyDescent="0.25">
      <c r="A37" s="20"/>
      <c r="B37" s="2"/>
      <c r="C37" s="57"/>
      <c r="D37" s="57"/>
      <c r="E37" s="57"/>
      <c r="F37" s="3"/>
      <c r="G37" s="23"/>
      <c r="H37" s="3"/>
      <c r="I37" s="3"/>
      <c r="J37" s="3"/>
      <c r="K37" s="21"/>
      <c r="M37" s="267"/>
      <c r="N37" s="24"/>
      <c r="O37" s="246"/>
    </row>
    <row r="38" spans="1:15" x14ac:dyDescent="0.25">
      <c r="A38" s="379" t="s">
        <v>193</v>
      </c>
      <c r="B38" s="2"/>
      <c r="C38" s="57"/>
      <c r="D38" s="57"/>
      <c r="E38" s="57"/>
      <c r="F38" s="3"/>
      <c r="G38" s="23"/>
      <c r="H38" s="3"/>
      <c r="I38" s="3"/>
      <c r="J38" s="3"/>
      <c r="K38" s="21"/>
      <c r="M38" s="267"/>
      <c r="N38" s="24"/>
      <c r="O38" s="246"/>
    </row>
    <row r="39" spans="1:15" x14ac:dyDescent="0.25">
      <c r="A39" s="20" t="s">
        <v>219</v>
      </c>
      <c r="B39" s="2"/>
      <c r="C39" s="57">
        <f>0.4833+0.5063+0.5063+0.4833</f>
        <v>1.9792000000000001</v>
      </c>
      <c r="D39" s="57">
        <v>2</v>
      </c>
      <c r="E39" s="57"/>
      <c r="F39" s="3">
        <v>0.03</v>
      </c>
      <c r="G39" s="23"/>
      <c r="H39" s="3"/>
      <c r="I39" s="3">
        <f>C39*D39</f>
        <v>3.9584000000000001</v>
      </c>
      <c r="J39" s="3">
        <f>I39*F39</f>
        <v>0.118752</v>
      </c>
      <c r="K39" s="21"/>
      <c r="M39" s="267"/>
      <c r="N39" s="24"/>
      <c r="O39" s="246"/>
    </row>
    <row r="40" spans="1:15" x14ac:dyDescent="0.25">
      <c r="A40" s="20" t="s">
        <v>220</v>
      </c>
      <c r="B40" s="2"/>
      <c r="C40" s="57">
        <v>1.2649999999999999</v>
      </c>
      <c r="D40" s="57">
        <v>1.85</v>
      </c>
      <c r="E40" s="57"/>
      <c r="F40" s="3">
        <v>0.03</v>
      </c>
      <c r="G40" s="23">
        <v>1</v>
      </c>
      <c r="H40" s="3"/>
      <c r="I40" s="3">
        <f>C40*D40*G40</f>
        <v>2.3402499999999997</v>
      </c>
      <c r="J40" s="3">
        <f>I40*F40</f>
        <v>7.0207499999999992E-2</v>
      </c>
      <c r="K40" s="21"/>
      <c r="M40" s="267"/>
      <c r="N40" s="24"/>
      <c r="O40" s="246"/>
    </row>
    <row r="41" spans="1:15" x14ac:dyDescent="0.25">
      <c r="A41" s="20"/>
      <c r="B41" s="2"/>
      <c r="C41" s="57"/>
      <c r="D41" s="57"/>
      <c r="E41" s="57"/>
      <c r="F41" s="3"/>
      <c r="G41" s="23"/>
      <c r="H41" s="3"/>
      <c r="I41" s="3"/>
      <c r="J41" s="3"/>
      <c r="K41" s="21"/>
      <c r="M41" s="267"/>
      <c r="N41" s="24"/>
      <c r="O41" s="246"/>
    </row>
    <row r="42" spans="1:15" x14ac:dyDescent="0.25">
      <c r="A42" s="379" t="s">
        <v>194</v>
      </c>
      <c r="B42" s="2"/>
      <c r="C42" s="57"/>
      <c r="D42" s="57"/>
      <c r="E42" s="57"/>
      <c r="F42" s="3"/>
      <c r="G42" s="23"/>
      <c r="H42" s="3"/>
      <c r="I42" s="3"/>
      <c r="J42" s="3"/>
      <c r="K42" s="21"/>
      <c r="M42" s="267"/>
      <c r="N42" s="24"/>
      <c r="O42" s="246"/>
    </row>
    <row r="43" spans="1:15" x14ac:dyDescent="0.25">
      <c r="A43" s="20" t="s">
        <v>219</v>
      </c>
      <c r="B43" s="2"/>
      <c r="C43" s="57">
        <f>0.9867+1.0017+0.9867</f>
        <v>2.9750999999999999</v>
      </c>
      <c r="D43" s="57">
        <v>2</v>
      </c>
      <c r="E43" s="57"/>
      <c r="F43" s="3">
        <v>0.03</v>
      </c>
      <c r="G43" s="23"/>
      <c r="H43" s="3"/>
      <c r="I43" s="3">
        <f>C43*D43</f>
        <v>5.9501999999999997</v>
      </c>
      <c r="J43" s="3">
        <f>I43*F43</f>
        <v>0.178506</v>
      </c>
      <c r="K43" s="21"/>
      <c r="M43" s="267"/>
      <c r="N43" s="24"/>
      <c r="O43" s="246"/>
    </row>
    <row r="44" spans="1:15" x14ac:dyDescent="0.25">
      <c r="A44" s="20" t="s">
        <v>220</v>
      </c>
      <c r="B44" s="2"/>
      <c r="C44" s="57">
        <v>1.272</v>
      </c>
      <c r="D44" s="57">
        <v>1.85</v>
      </c>
      <c r="E44" s="57"/>
      <c r="F44" s="3">
        <v>0.03</v>
      </c>
      <c r="G44" s="23">
        <v>2</v>
      </c>
      <c r="H44" s="3"/>
      <c r="I44" s="3">
        <f>C44*D44*G44</f>
        <v>4.7064000000000004</v>
      </c>
      <c r="J44" s="3">
        <f>I44*F44</f>
        <v>0.14119200000000001</v>
      </c>
      <c r="K44" s="21"/>
      <c r="M44" s="267"/>
      <c r="N44" s="24"/>
      <c r="O44" s="246"/>
    </row>
    <row r="45" spans="1:15" x14ac:dyDescent="0.25">
      <c r="A45" s="20"/>
      <c r="B45" s="2"/>
      <c r="C45" s="57"/>
      <c r="D45" s="57"/>
      <c r="E45" s="57"/>
      <c r="F45" s="3"/>
      <c r="G45" s="23"/>
      <c r="H45" s="3"/>
      <c r="I45" s="3"/>
      <c r="J45" s="3"/>
      <c r="K45" s="21"/>
      <c r="M45" s="267"/>
      <c r="N45" s="24"/>
      <c r="O45" s="246"/>
    </row>
    <row r="46" spans="1:15" x14ac:dyDescent="0.25">
      <c r="A46" s="379" t="s">
        <v>195</v>
      </c>
      <c r="B46" s="2"/>
      <c r="C46" s="57"/>
      <c r="D46" s="57"/>
      <c r="E46" s="57"/>
      <c r="F46" s="3"/>
      <c r="G46" s="23"/>
      <c r="H46" s="3"/>
      <c r="I46" s="3"/>
      <c r="J46" s="3"/>
      <c r="K46" s="21"/>
      <c r="M46" s="267"/>
      <c r="N46" s="24"/>
      <c r="O46" s="246"/>
    </row>
    <row r="47" spans="1:15" x14ac:dyDescent="0.25">
      <c r="A47" s="20" t="s">
        <v>219</v>
      </c>
      <c r="B47" s="2"/>
      <c r="C47" s="57">
        <f>0.9975+0.9975</f>
        <v>1.9950000000000001</v>
      </c>
      <c r="D47" s="57">
        <v>2</v>
      </c>
      <c r="E47" s="57"/>
      <c r="F47" s="3">
        <v>0.03</v>
      </c>
      <c r="G47" s="23"/>
      <c r="H47" s="3"/>
      <c r="I47" s="3">
        <f>C47*D47</f>
        <v>3.99</v>
      </c>
      <c r="J47" s="3">
        <f>I47*F47</f>
        <v>0.1197</v>
      </c>
      <c r="K47" s="21"/>
      <c r="M47" s="267"/>
      <c r="N47" s="24"/>
      <c r="O47" s="246"/>
    </row>
    <row r="48" spans="1:15" x14ac:dyDescent="0.25">
      <c r="A48" s="20" t="s">
        <v>220</v>
      </c>
      <c r="B48" s="2"/>
      <c r="C48" s="57">
        <v>1.272</v>
      </c>
      <c r="D48" s="57">
        <v>1.85</v>
      </c>
      <c r="E48" s="57"/>
      <c r="F48" s="3">
        <v>0.03</v>
      </c>
      <c r="G48" s="23">
        <v>1</v>
      </c>
      <c r="H48" s="3"/>
      <c r="I48" s="3">
        <f>C48*D48*G48</f>
        <v>2.3532000000000002</v>
      </c>
      <c r="J48" s="3">
        <f>I48*F48</f>
        <v>7.0596000000000006E-2</v>
      </c>
      <c r="K48" s="21"/>
      <c r="M48" s="267"/>
      <c r="N48" s="24"/>
      <c r="O48" s="246"/>
    </row>
    <row r="49" spans="1:15" ht="33.75" customHeight="1" x14ac:dyDescent="0.25">
      <c r="A49" s="20"/>
      <c r="B49" s="2"/>
      <c r="C49" s="57"/>
      <c r="D49" s="57"/>
      <c r="E49" s="57"/>
      <c r="F49" s="3"/>
      <c r="G49" s="23"/>
      <c r="H49" s="3"/>
      <c r="I49" s="3"/>
      <c r="J49" s="3"/>
      <c r="K49" s="21"/>
      <c r="M49" s="245"/>
      <c r="N49" s="24"/>
      <c r="O49" s="246"/>
    </row>
    <row r="50" spans="1:15" x14ac:dyDescent="0.25">
      <c r="A50" s="266" t="s">
        <v>27</v>
      </c>
      <c r="B50" s="11" t="s">
        <v>43</v>
      </c>
      <c r="C50" s="12"/>
      <c r="D50" s="12"/>
      <c r="E50" s="12"/>
      <c r="F50" s="12"/>
      <c r="G50" s="14"/>
      <c r="H50" s="15"/>
      <c r="I50" s="12">
        <f>SUM(I51:I52)</f>
        <v>5.3279100000000001</v>
      </c>
      <c r="J50" s="16">
        <f>SUM(J51:J52)</f>
        <v>0.85246560000000016</v>
      </c>
      <c r="K50" s="18"/>
      <c r="M50" s="256">
        <f>5.28</f>
        <v>5.28</v>
      </c>
      <c r="N50" s="13">
        <f>M50-I50</f>
        <v>-4.7909999999999897E-2</v>
      </c>
      <c r="O50" s="248">
        <f>N50/M50</f>
        <v>-9.073863636363616E-3</v>
      </c>
    </row>
    <row r="51" spans="1:15" x14ac:dyDescent="0.25">
      <c r="A51" s="20" t="s">
        <v>226</v>
      </c>
      <c r="B51" s="2"/>
      <c r="C51" s="24">
        <v>1.7150000000000001</v>
      </c>
      <c r="D51" s="3">
        <v>1.89</v>
      </c>
      <c r="E51" s="3"/>
      <c r="F51" s="3">
        <v>0.16</v>
      </c>
      <c r="G51" s="22"/>
      <c r="H51" s="5"/>
      <c r="I51" s="3">
        <f>C51*D51</f>
        <v>3.2413500000000002</v>
      </c>
      <c r="J51" s="3">
        <f>I51*F51</f>
        <v>0.51861600000000008</v>
      </c>
      <c r="K51" s="21"/>
      <c r="M51" s="245"/>
      <c r="N51" s="24" t="s">
        <v>41</v>
      </c>
      <c r="O51" s="246"/>
    </row>
    <row r="52" spans="1:15" x14ac:dyDescent="0.25">
      <c r="A52" s="20" t="s">
        <v>227</v>
      </c>
      <c r="B52" s="2"/>
      <c r="C52" s="3">
        <v>1.1040000000000001</v>
      </c>
      <c r="D52" s="3">
        <v>1.89</v>
      </c>
      <c r="E52" s="3"/>
      <c r="F52" s="3">
        <v>0.16</v>
      </c>
      <c r="G52" s="22"/>
      <c r="H52" s="5"/>
      <c r="I52" s="3">
        <f>C52*D52</f>
        <v>2.08656</v>
      </c>
      <c r="J52" s="3">
        <f>I52*F52</f>
        <v>0.33384960000000002</v>
      </c>
      <c r="K52" s="21"/>
      <c r="M52" s="245"/>
      <c r="N52" s="24" t="s">
        <v>41</v>
      </c>
      <c r="O52" s="246"/>
    </row>
    <row r="53" spans="1:15" ht="60" x14ac:dyDescent="0.25">
      <c r="A53" s="266" t="s">
        <v>29</v>
      </c>
      <c r="B53" s="11" t="s">
        <v>37</v>
      </c>
      <c r="C53" s="12"/>
      <c r="D53" s="12"/>
      <c r="E53" s="12"/>
      <c r="F53" s="12"/>
      <c r="G53" s="14"/>
      <c r="H53" s="15"/>
      <c r="I53" s="16">
        <f>SUM(I54:I110)</f>
        <v>57.809944000000009</v>
      </c>
      <c r="J53" s="17">
        <f>SUM(J54:J110)</f>
        <v>1.15619888</v>
      </c>
      <c r="K53" s="1" t="s">
        <v>30</v>
      </c>
      <c r="M53" s="382">
        <f>54.26+2.94</f>
        <v>57.199999999999996</v>
      </c>
      <c r="N53" s="13">
        <f>M53-I53</f>
        <v>-0.60994400000001292</v>
      </c>
      <c r="O53" s="248">
        <f>N53/M53</f>
        <v>-1.066335664335687E-2</v>
      </c>
    </row>
    <row r="54" spans="1:15" x14ac:dyDescent="0.25">
      <c r="A54" s="45" t="s">
        <v>230</v>
      </c>
      <c r="B54" s="2"/>
      <c r="C54" s="3"/>
      <c r="D54" s="3"/>
      <c r="E54" s="3"/>
      <c r="F54" s="3"/>
      <c r="G54" s="22"/>
      <c r="H54" s="5"/>
      <c r="I54" s="3"/>
      <c r="J54" s="3"/>
      <c r="K54" s="21"/>
      <c r="M54" s="245"/>
      <c r="N54" s="24" t="s">
        <v>41</v>
      </c>
      <c r="O54" s="246"/>
    </row>
    <row r="55" spans="1:15" x14ac:dyDescent="0.25">
      <c r="A55" s="379" t="s">
        <v>192</v>
      </c>
      <c r="B55" s="2"/>
      <c r="C55" s="57"/>
      <c r="D55" s="57"/>
      <c r="E55" s="57"/>
      <c r="F55" s="3"/>
      <c r="G55" s="23"/>
      <c r="H55" s="3"/>
      <c r="I55" s="3"/>
      <c r="J55" s="3"/>
      <c r="K55" s="21"/>
      <c r="M55" s="245"/>
      <c r="N55" s="24" t="s">
        <v>41</v>
      </c>
      <c r="O55" s="246"/>
    </row>
    <row r="56" spans="1:15" x14ac:dyDescent="0.25">
      <c r="A56" s="20" t="s">
        <v>31</v>
      </c>
      <c r="B56" s="2"/>
      <c r="C56" s="57">
        <f>2.967</f>
        <v>2.9670000000000001</v>
      </c>
      <c r="D56" s="65">
        <v>0.08</v>
      </c>
      <c r="E56" s="57">
        <v>0.02</v>
      </c>
      <c r="F56" s="3"/>
      <c r="G56" s="23"/>
      <c r="H56" s="3"/>
      <c r="I56" s="3">
        <f>C56*D56</f>
        <v>0.23736000000000002</v>
      </c>
      <c r="J56" s="3">
        <f t="shared" ref="J56:J63" si="5">I56*E56</f>
        <v>4.7472E-3</v>
      </c>
      <c r="K56" s="21"/>
      <c r="M56" s="245"/>
      <c r="N56" s="24"/>
      <c r="O56" s="246"/>
    </row>
    <row r="57" spans="1:15" x14ac:dyDescent="0.25">
      <c r="A57" s="28" t="s">
        <v>200</v>
      </c>
      <c r="B57" s="29"/>
      <c r="C57" s="25">
        <v>0.94</v>
      </c>
      <c r="D57" s="383">
        <v>0.08</v>
      </c>
      <c r="E57" s="25">
        <v>0.02</v>
      </c>
      <c r="F57" s="25"/>
      <c r="G57" s="26">
        <v>1</v>
      </c>
      <c r="H57" s="130"/>
      <c r="I57" s="27">
        <f>-C57*D57*G57</f>
        <v>-7.5200000000000003E-2</v>
      </c>
      <c r="J57" s="27">
        <f t="shared" si="5"/>
        <v>-1.5040000000000001E-3</v>
      </c>
      <c r="K57" s="30"/>
      <c r="M57" s="245"/>
      <c r="N57" s="24" t="s">
        <v>41</v>
      </c>
      <c r="O57" s="246"/>
    </row>
    <row r="58" spans="1:15" x14ac:dyDescent="0.25">
      <c r="A58" s="20" t="s">
        <v>28</v>
      </c>
      <c r="B58" s="2"/>
      <c r="C58" s="57">
        <f>2.967</f>
        <v>2.9670000000000001</v>
      </c>
      <c r="D58" s="65">
        <v>0.08</v>
      </c>
      <c r="E58" s="57">
        <v>0.02</v>
      </c>
      <c r="F58" s="3"/>
      <c r="G58" s="23"/>
      <c r="H58" s="3"/>
      <c r="I58" s="3">
        <f>C58*D58</f>
        <v>0.23736000000000002</v>
      </c>
      <c r="J58" s="3">
        <f t="shared" si="5"/>
        <v>4.7472E-3</v>
      </c>
      <c r="K58" s="21"/>
      <c r="M58" s="245"/>
      <c r="N58" s="24"/>
      <c r="O58" s="246"/>
    </row>
    <row r="59" spans="1:15" x14ac:dyDescent="0.25">
      <c r="A59" s="20" t="s">
        <v>18</v>
      </c>
      <c r="B59" s="2"/>
      <c r="C59" s="57">
        <f>1.265+3.021+0.16+1.097</f>
        <v>5.5429999999999993</v>
      </c>
      <c r="D59" s="65">
        <v>0.08</v>
      </c>
      <c r="E59" s="57">
        <v>0.02</v>
      </c>
      <c r="F59" s="3"/>
      <c r="G59" s="23"/>
      <c r="H59" s="3"/>
      <c r="I59" s="3">
        <f>C59*D59</f>
        <v>0.44343999999999995</v>
      </c>
      <c r="J59" s="3">
        <f t="shared" si="5"/>
        <v>8.8687999999999996E-3</v>
      </c>
      <c r="K59" s="21"/>
      <c r="M59" s="245"/>
      <c r="N59" s="24"/>
      <c r="O59" s="246"/>
    </row>
    <row r="60" spans="1:15" x14ac:dyDescent="0.25">
      <c r="A60" s="28" t="s">
        <v>232</v>
      </c>
      <c r="B60" s="29"/>
      <c r="C60" s="25">
        <v>3.0085000000000002</v>
      </c>
      <c r="D60" s="383">
        <v>0.08</v>
      </c>
      <c r="E60" s="25">
        <v>0.02</v>
      </c>
      <c r="F60" s="25"/>
      <c r="G60" s="26">
        <v>1</v>
      </c>
      <c r="H60" s="130"/>
      <c r="I60" s="27">
        <f>-C60*D60*G60</f>
        <v>-0.24068000000000003</v>
      </c>
      <c r="J60" s="27">
        <f t="shared" si="5"/>
        <v>-4.8136000000000003E-3</v>
      </c>
      <c r="K60" s="30"/>
      <c r="M60" s="245"/>
      <c r="N60" s="24" t="s">
        <v>41</v>
      </c>
      <c r="O60" s="246"/>
    </row>
    <row r="61" spans="1:15" x14ac:dyDescent="0.25">
      <c r="A61" s="20" t="s">
        <v>233</v>
      </c>
      <c r="B61" s="2"/>
      <c r="C61" s="57">
        <v>1.7090000000000001</v>
      </c>
      <c r="D61" s="65">
        <v>0.08</v>
      </c>
      <c r="E61" s="57">
        <v>0.02</v>
      </c>
      <c r="F61" s="3"/>
      <c r="G61" s="23">
        <v>2</v>
      </c>
      <c r="H61" s="3"/>
      <c r="I61" s="3">
        <f>C61*D61*G61</f>
        <v>0.27344000000000002</v>
      </c>
      <c r="J61" s="3">
        <f t="shared" si="5"/>
        <v>5.4688000000000002E-3</v>
      </c>
      <c r="K61" s="21"/>
      <c r="M61" s="245"/>
      <c r="N61" s="24"/>
      <c r="O61" s="246"/>
    </row>
    <row r="62" spans="1:15" x14ac:dyDescent="0.25">
      <c r="A62" s="20" t="s">
        <v>19</v>
      </c>
      <c r="B62" s="2"/>
      <c r="C62" s="57">
        <f>1.265+3.021+0.16+1.097</f>
        <v>5.5429999999999993</v>
      </c>
      <c r="D62" s="65">
        <v>0.08</v>
      </c>
      <c r="E62" s="57">
        <v>0.02</v>
      </c>
      <c r="F62" s="3"/>
      <c r="G62" s="23"/>
      <c r="H62" s="3"/>
      <c r="I62" s="3">
        <f>C62*D62</f>
        <v>0.44343999999999995</v>
      </c>
      <c r="J62" s="3">
        <f t="shared" si="5"/>
        <v>8.8687999999999996E-3</v>
      </c>
      <c r="K62" s="21"/>
      <c r="M62" s="245"/>
      <c r="N62" s="24"/>
      <c r="O62" s="246"/>
    </row>
    <row r="63" spans="1:15" x14ac:dyDescent="0.25">
      <c r="A63" s="28" t="s">
        <v>232</v>
      </c>
      <c r="B63" s="29"/>
      <c r="C63" s="25">
        <v>4.2655000000000003</v>
      </c>
      <c r="D63" s="383">
        <v>0.08</v>
      </c>
      <c r="E63" s="25">
        <v>0.02</v>
      </c>
      <c r="F63" s="25"/>
      <c r="G63" s="26">
        <v>1</v>
      </c>
      <c r="H63" s="130"/>
      <c r="I63" s="27">
        <f>-C63*D63*G63</f>
        <v>-0.34124000000000004</v>
      </c>
      <c r="J63" s="27">
        <f t="shared" si="5"/>
        <v>-6.8248000000000007E-3</v>
      </c>
      <c r="K63" s="30"/>
      <c r="M63" s="245"/>
      <c r="N63" s="24" t="s">
        <v>41</v>
      </c>
      <c r="O63" s="246"/>
    </row>
    <row r="64" spans="1:15" x14ac:dyDescent="0.25">
      <c r="A64" s="379"/>
      <c r="B64" s="2"/>
      <c r="C64" s="57"/>
      <c r="D64" s="57"/>
      <c r="E64" s="57"/>
      <c r="F64" s="3"/>
      <c r="G64" s="23"/>
      <c r="H64" s="3"/>
      <c r="I64" s="3"/>
      <c r="J64" s="3"/>
      <c r="K64" s="21"/>
      <c r="M64" s="245"/>
      <c r="N64" s="24"/>
      <c r="O64" s="246"/>
    </row>
    <row r="65" spans="1:15" x14ac:dyDescent="0.25">
      <c r="A65" s="379" t="s">
        <v>193</v>
      </c>
      <c r="B65" s="2"/>
      <c r="C65" s="57"/>
      <c r="D65" s="65"/>
      <c r="E65" s="57"/>
      <c r="F65" s="3"/>
      <c r="G65" s="23"/>
      <c r="H65" s="3"/>
      <c r="I65" s="3"/>
      <c r="J65" s="3"/>
      <c r="K65" s="21"/>
      <c r="M65" s="245"/>
      <c r="N65" s="24" t="s">
        <v>41</v>
      </c>
      <c r="O65" s="246"/>
    </row>
    <row r="66" spans="1:15" x14ac:dyDescent="0.25">
      <c r="A66" s="20" t="s">
        <v>31</v>
      </c>
      <c r="B66" s="2"/>
      <c r="C66" s="57">
        <v>2</v>
      </c>
      <c r="D66" s="65">
        <v>0.08</v>
      </c>
      <c r="E66" s="57">
        <v>0.02</v>
      </c>
      <c r="F66" s="3"/>
      <c r="G66" s="23"/>
      <c r="H66" s="3"/>
      <c r="I66" s="3">
        <f>C66*D66</f>
        <v>0.16</v>
      </c>
      <c r="J66" s="3">
        <f t="shared" ref="J66:J73" si="6">I66*E66</f>
        <v>3.2000000000000002E-3</v>
      </c>
      <c r="K66" s="21"/>
      <c r="M66" s="245"/>
      <c r="N66" s="24"/>
      <c r="O66" s="246"/>
    </row>
    <row r="67" spans="1:15" x14ac:dyDescent="0.25">
      <c r="A67" s="28" t="s">
        <v>200</v>
      </c>
      <c r="B67" s="29"/>
      <c r="C67" s="25">
        <v>0.94</v>
      </c>
      <c r="D67" s="383">
        <v>0.08</v>
      </c>
      <c r="E67" s="25">
        <v>0.02</v>
      </c>
      <c r="F67" s="25"/>
      <c r="G67" s="26">
        <v>1</v>
      </c>
      <c r="H67" s="130"/>
      <c r="I67" s="27">
        <f>-C67*D67*G67</f>
        <v>-7.5200000000000003E-2</v>
      </c>
      <c r="J67" s="27">
        <f t="shared" si="6"/>
        <v>-1.5040000000000001E-3</v>
      </c>
      <c r="K67" s="30"/>
      <c r="M67" s="245"/>
      <c r="N67" s="24" t="s">
        <v>41</v>
      </c>
      <c r="O67" s="246"/>
    </row>
    <row r="68" spans="1:15" x14ac:dyDescent="0.25">
      <c r="A68" s="20" t="s">
        <v>28</v>
      </c>
      <c r="B68" s="2"/>
      <c r="C68" s="57">
        <v>2</v>
      </c>
      <c r="D68" s="65">
        <v>0.08</v>
      </c>
      <c r="E68" s="57">
        <v>0.02</v>
      </c>
      <c r="F68" s="3"/>
      <c r="G68" s="23"/>
      <c r="H68" s="3"/>
      <c r="I68" s="3">
        <f>C68*D68</f>
        <v>0.16</v>
      </c>
      <c r="J68" s="3">
        <f t="shared" si="6"/>
        <v>3.2000000000000002E-3</v>
      </c>
      <c r="K68" s="21"/>
      <c r="M68" s="245"/>
      <c r="N68" s="24"/>
      <c r="O68" s="246"/>
    </row>
    <row r="69" spans="1:15" x14ac:dyDescent="0.25">
      <c r="A69" s="20" t="s">
        <v>18</v>
      </c>
      <c r="B69" s="2"/>
      <c r="C69" s="57">
        <f>1.265+3.021+0.16+1.097</f>
        <v>5.5429999999999993</v>
      </c>
      <c r="D69" s="65">
        <v>0.08</v>
      </c>
      <c r="E69" s="57">
        <v>0.02</v>
      </c>
      <c r="F69" s="3"/>
      <c r="G69" s="23"/>
      <c r="H69" s="3"/>
      <c r="I69" s="3">
        <f>C69*D69</f>
        <v>0.44343999999999995</v>
      </c>
      <c r="J69" s="3">
        <f t="shared" si="6"/>
        <v>8.8687999999999996E-3</v>
      </c>
      <c r="K69" s="21"/>
      <c r="M69" s="245"/>
      <c r="N69" s="24"/>
      <c r="O69" s="246"/>
    </row>
    <row r="70" spans="1:15" x14ac:dyDescent="0.25">
      <c r="A70" s="28" t="s">
        <v>232</v>
      </c>
      <c r="B70" s="29"/>
      <c r="C70" s="25">
        <v>4.2954999999999997</v>
      </c>
      <c r="D70" s="383">
        <v>0.08</v>
      </c>
      <c r="E70" s="25">
        <v>0.02</v>
      </c>
      <c r="F70" s="25"/>
      <c r="G70" s="26">
        <v>1</v>
      </c>
      <c r="H70" s="130"/>
      <c r="I70" s="27">
        <f>-C70*D70*G70</f>
        <v>-0.34364</v>
      </c>
      <c r="J70" s="27">
        <f t="shared" si="6"/>
        <v>-6.8728000000000001E-3</v>
      </c>
      <c r="K70" s="30"/>
      <c r="M70" s="245"/>
      <c r="N70" s="24" t="s">
        <v>41</v>
      </c>
      <c r="O70" s="246"/>
    </row>
    <row r="71" spans="1:15" x14ac:dyDescent="0.25">
      <c r="A71" s="20" t="s">
        <v>19</v>
      </c>
      <c r="B71" s="2"/>
      <c r="C71" s="57">
        <f>1.265+3.021+0.16+1.097</f>
        <v>5.5429999999999993</v>
      </c>
      <c r="D71" s="65">
        <v>0.08</v>
      </c>
      <c r="E71" s="57">
        <v>0.02</v>
      </c>
      <c r="F71" s="3"/>
      <c r="G71" s="23"/>
      <c r="H71" s="3"/>
      <c r="I71" s="3">
        <f>C71*D71</f>
        <v>0.44343999999999995</v>
      </c>
      <c r="J71" s="3">
        <f t="shared" si="6"/>
        <v>8.8687999999999996E-3</v>
      </c>
      <c r="K71" s="21"/>
      <c r="M71" s="245"/>
      <c r="N71" s="24"/>
      <c r="O71" s="246"/>
    </row>
    <row r="72" spans="1:15" x14ac:dyDescent="0.25">
      <c r="A72" s="28" t="s">
        <v>232</v>
      </c>
      <c r="B72" s="29"/>
      <c r="C72" s="25">
        <v>3.0154999999999998</v>
      </c>
      <c r="D72" s="383">
        <v>0.08</v>
      </c>
      <c r="E72" s="25">
        <v>0.02</v>
      </c>
      <c r="F72" s="25"/>
      <c r="G72" s="26">
        <v>1</v>
      </c>
      <c r="H72" s="130"/>
      <c r="I72" s="27">
        <f>-C72*D72*G72</f>
        <v>-0.24123999999999998</v>
      </c>
      <c r="J72" s="27">
        <f t="shared" si="6"/>
        <v>-4.8247999999999997E-3</v>
      </c>
      <c r="K72" s="30"/>
      <c r="M72" s="245"/>
      <c r="N72" s="24" t="s">
        <v>41</v>
      </c>
      <c r="O72" s="246"/>
    </row>
    <row r="73" spans="1:15" x14ac:dyDescent="0.25">
      <c r="A73" s="20" t="s">
        <v>233</v>
      </c>
      <c r="B73" s="2"/>
      <c r="C73" s="57">
        <v>1.1180000000000001</v>
      </c>
      <c r="D73" s="65">
        <v>0.08</v>
      </c>
      <c r="E73" s="57">
        <v>0.02</v>
      </c>
      <c r="F73" s="3"/>
      <c r="G73" s="23">
        <v>2</v>
      </c>
      <c r="H73" s="3"/>
      <c r="I73" s="3">
        <f>C73*D73*G73</f>
        <v>0.17888000000000001</v>
      </c>
      <c r="J73" s="3">
        <f t="shared" si="6"/>
        <v>3.5776000000000002E-3</v>
      </c>
      <c r="K73" s="21"/>
      <c r="M73" s="245"/>
      <c r="N73" s="24"/>
      <c r="O73" s="246"/>
    </row>
    <row r="74" spans="1:15" x14ac:dyDescent="0.25">
      <c r="A74" s="20"/>
      <c r="B74" s="2"/>
      <c r="C74" s="57"/>
      <c r="D74" s="65"/>
      <c r="E74" s="57"/>
      <c r="F74" s="3"/>
      <c r="G74" s="23"/>
      <c r="H74" s="3"/>
      <c r="I74" s="3"/>
      <c r="J74" s="3"/>
      <c r="K74" s="21"/>
      <c r="M74" s="245"/>
      <c r="N74" s="24"/>
      <c r="O74" s="246"/>
    </row>
    <row r="75" spans="1:15" x14ac:dyDescent="0.25">
      <c r="A75" s="379" t="s">
        <v>194</v>
      </c>
      <c r="B75" s="2"/>
      <c r="C75" s="57"/>
      <c r="D75" s="57"/>
      <c r="E75" s="57"/>
      <c r="F75" s="3"/>
      <c r="G75" s="23"/>
      <c r="H75" s="3"/>
      <c r="I75" s="3"/>
      <c r="J75" s="3"/>
      <c r="K75" s="21"/>
      <c r="M75" s="245"/>
      <c r="N75" s="24" t="s">
        <v>41</v>
      </c>
      <c r="O75" s="246"/>
    </row>
    <row r="76" spans="1:15" x14ac:dyDescent="0.25">
      <c r="A76" s="20" t="s">
        <v>31</v>
      </c>
      <c r="B76" s="2"/>
      <c r="C76" s="57">
        <f>1.715+1.26</f>
        <v>2.9750000000000001</v>
      </c>
      <c r="D76" s="65">
        <v>0.08</v>
      </c>
      <c r="E76" s="57">
        <v>0.02</v>
      </c>
      <c r="F76" s="3"/>
      <c r="G76" s="23"/>
      <c r="H76" s="3"/>
      <c r="I76" s="3">
        <f>C76*D76</f>
        <v>0.23800000000000002</v>
      </c>
      <c r="J76" s="3">
        <f t="shared" ref="J76:J83" si="7">I76*E76</f>
        <v>4.7600000000000003E-3</v>
      </c>
      <c r="K76" s="21"/>
      <c r="M76" s="245"/>
      <c r="N76" s="24"/>
      <c r="O76" s="246"/>
    </row>
    <row r="77" spans="1:15" x14ac:dyDescent="0.25">
      <c r="A77" s="28" t="s">
        <v>200</v>
      </c>
      <c r="B77" s="29"/>
      <c r="C77" s="25">
        <v>0.94</v>
      </c>
      <c r="D77" s="383">
        <v>0.08</v>
      </c>
      <c r="E77" s="25">
        <v>0.02</v>
      </c>
      <c r="F77" s="25"/>
      <c r="G77" s="26">
        <v>1</v>
      </c>
      <c r="H77" s="130"/>
      <c r="I77" s="27">
        <f>-C77*D77*G77</f>
        <v>-7.5200000000000003E-2</v>
      </c>
      <c r="J77" s="27">
        <f t="shared" si="7"/>
        <v>-1.5040000000000001E-3</v>
      </c>
      <c r="K77" s="30"/>
      <c r="M77" s="245"/>
      <c r="N77" s="24" t="s">
        <v>41</v>
      </c>
      <c r="O77" s="246"/>
    </row>
    <row r="78" spans="1:15" x14ac:dyDescent="0.25">
      <c r="A78" s="20" t="s">
        <v>28</v>
      </c>
      <c r="B78" s="2"/>
      <c r="C78" s="57">
        <f>1.715+1.26</f>
        <v>2.9750000000000001</v>
      </c>
      <c r="D78" s="65">
        <v>0.08</v>
      </c>
      <c r="E78" s="57">
        <v>0.02</v>
      </c>
      <c r="F78" s="3"/>
      <c r="G78" s="23"/>
      <c r="H78" s="3"/>
      <c r="I78" s="3">
        <f>C78*D78</f>
        <v>0.23800000000000002</v>
      </c>
      <c r="J78" s="3">
        <f t="shared" si="7"/>
        <v>4.7600000000000003E-3</v>
      </c>
      <c r="K78" s="21"/>
      <c r="M78" s="245"/>
      <c r="N78" s="24"/>
      <c r="O78" s="246"/>
    </row>
    <row r="79" spans="1:15" x14ac:dyDescent="0.25">
      <c r="A79" s="20" t="s">
        <v>18</v>
      </c>
      <c r="B79" s="2"/>
      <c r="C79" s="57">
        <f>1.097+0.16+3.016+1.272</f>
        <v>5.5449999999999999</v>
      </c>
      <c r="D79" s="65">
        <v>0.08</v>
      </c>
      <c r="E79" s="57">
        <v>0.02</v>
      </c>
      <c r="F79" s="3"/>
      <c r="G79" s="23"/>
      <c r="H79" s="3"/>
      <c r="I79" s="3">
        <f>C79*D79</f>
        <v>0.44359999999999999</v>
      </c>
      <c r="J79" s="3">
        <f t="shared" si="7"/>
        <v>8.8719999999999997E-3</v>
      </c>
      <c r="K79" s="21"/>
      <c r="M79" s="245"/>
      <c r="N79" s="24"/>
      <c r="O79" s="246"/>
    </row>
    <row r="80" spans="1:15" x14ac:dyDescent="0.25">
      <c r="A80" s="28" t="s">
        <v>232</v>
      </c>
      <c r="B80" s="29"/>
      <c r="C80" s="25">
        <v>4.2605000000000004</v>
      </c>
      <c r="D80" s="383">
        <v>0.08</v>
      </c>
      <c r="E80" s="25">
        <v>0.02</v>
      </c>
      <c r="F80" s="25"/>
      <c r="G80" s="26">
        <v>1</v>
      </c>
      <c r="H80" s="130"/>
      <c r="I80" s="27">
        <f>-C80*D80*G80</f>
        <v>-0.34084000000000003</v>
      </c>
      <c r="J80" s="27">
        <f t="shared" si="7"/>
        <v>-6.8168000000000005E-3</v>
      </c>
      <c r="K80" s="30"/>
      <c r="M80" s="245"/>
      <c r="N80" s="24" t="s">
        <v>41</v>
      </c>
      <c r="O80" s="246"/>
    </row>
    <row r="81" spans="1:15" x14ac:dyDescent="0.25">
      <c r="A81" s="20" t="s">
        <v>233</v>
      </c>
      <c r="B81" s="2"/>
      <c r="C81" s="57">
        <v>1.7150000000000001</v>
      </c>
      <c r="D81" s="65">
        <v>0.08</v>
      </c>
      <c r="E81" s="57">
        <v>0.02</v>
      </c>
      <c r="F81" s="3"/>
      <c r="G81" s="23">
        <v>2</v>
      </c>
      <c r="H81" s="3"/>
      <c r="I81" s="3">
        <f>C81*D81*G81</f>
        <v>0.27440000000000003</v>
      </c>
      <c r="J81" s="3">
        <f t="shared" si="7"/>
        <v>5.4880000000000007E-3</v>
      </c>
      <c r="K81" s="21"/>
      <c r="M81" s="245"/>
      <c r="N81" s="24"/>
      <c r="O81" s="246"/>
    </row>
    <row r="82" spans="1:15" x14ac:dyDescent="0.25">
      <c r="A82" s="20" t="s">
        <v>19</v>
      </c>
      <c r="B82" s="2"/>
      <c r="C82" s="57">
        <f>1.097+0.16+3.016+1.272</f>
        <v>5.5449999999999999</v>
      </c>
      <c r="D82" s="65">
        <v>0.08</v>
      </c>
      <c r="E82" s="57">
        <v>0.02</v>
      </c>
      <c r="F82" s="3"/>
      <c r="G82" s="23"/>
      <c r="H82" s="3"/>
      <c r="I82" s="3">
        <f>C82*D82</f>
        <v>0.44359999999999999</v>
      </c>
      <c r="J82" s="3">
        <f t="shared" si="7"/>
        <v>8.8719999999999997E-3</v>
      </c>
      <c r="K82" s="21"/>
      <c r="M82" s="245"/>
      <c r="N82" s="24"/>
      <c r="O82" s="246"/>
    </row>
    <row r="83" spans="1:15" x14ac:dyDescent="0.25">
      <c r="A83" s="28" t="s">
        <v>232</v>
      </c>
      <c r="B83" s="29"/>
      <c r="C83" s="25">
        <v>3.0034999999999998</v>
      </c>
      <c r="D83" s="383">
        <v>0.08</v>
      </c>
      <c r="E83" s="25">
        <v>0.02</v>
      </c>
      <c r="F83" s="25"/>
      <c r="G83" s="26">
        <v>1</v>
      </c>
      <c r="H83" s="130"/>
      <c r="I83" s="27">
        <f>-C83*D83*G83</f>
        <v>-0.24027999999999999</v>
      </c>
      <c r="J83" s="27">
        <f t="shared" si="7"/>
        <v>-4.8056000000000001E-3</v>
      </c>
      <c r="K83" s="30"/>
      <c r="M83" s="245"/>
      <c r="N83" s="24" t="s">
        <v>41</v>
      </c>
      <c r="O83" s="246"/>
    </row>
    <row r="84" spans="1:15" x14ac:dyDescent="0.25">
      <c r="A84" s="379"/>
      <c r="B84" s="2"/>
      <c r="C84" s="57"/>
      <c r="D84" s="57"/>
      <c r="E84" s="57"/>
      <c r="F84" s="3"/>
      <c r="G84" s="23"/>
      <c r="H84" s="3"/>
      <c r="I84" s="3"/>
      <c r="J84" s="3"/>
      <c r="K84" s="21"/>
      <c r="M84" s="245"/>
      <c r="N84" s="24"/>
      <c r="O84" s="246"/>
    </row>
    <row r="85" spans="1:15" x14ac:dyDescent="0.25">
      <c r="A85" s="379" t="s">
        <v>193</v>
      </c>
      <c r="B85" s="2"/>
      <c r="C85" s="57"/>
      <c r="D85" s="57"/>
      <c r="E85" s="57"/>
      <c r="F85" s="3"/>
      <c r="G85" s="23"/>
      <c r="H85" s="3"/>
      <c r="I85" s="3"/>
      <c r="J85" s="3"/>
      <c r="K85" s="21"/>
      <c r="M85" s="245"/>
      <c r="N85" s="24" t="s">
        <v>41</v>
      </c>
      <c r="O85" s="246"/>
    </row>
    <row r="86" spans="1:15" x14ac:dyDescent="0.25">
      <c r="A86" s="20" t="s">
        <v>31</v>
      </c>
      <c r="B86" s="2"/>
      <c r="C86" s="57">
        <f>0.891+1.104</f>
        <v>1.9950000000000001</v>
      </c>
      <c r="D86" s="65">
        <v>0.08</v>
      </c>
      <c r="E86" s="57">
        <v>0.02</v>
      </c>
      <c r="F86" s="3"/>
      <c r="G86" s="23"/>
      <c r="H86" s="3"/>
      <c r="I86" s="3">
        <f>C86*D86</f>
        <v>0.15960000000000002</v>
      </c>
      <c r="J86" s="3">
        <f t="shared" ref="J86:J93" si="8">I86*E86</f>
        <v>3.1920000000000004E-3</v>
      </c>
      <c r="K86" s="21"/>
      <c r="M86" s="245"/>
      <c r="N86" s="24"/>
      <c r="O86" s="246"/>
    </row>
    <row r="87" spans="1:15" x14ac:dyDescent="0.25">
      <c r="A87" s="28" t="s">
        <v>200</v>
      </c>
      <c r="B87" s="29"/>
      <c r="C87" s="25">
        <v>0.94</v>
      </c>
      <c r="D87" s="383">
        <v>0.08</v>
      </c>
      <c r="E87" s="25">
        <v>0.02</v>
      </c>
      <c r="F87" s="25"/>
      <c r="G87" s="26">
        <v>1</v>
      </c>
      <c r="H87" s="130"/>
      <c r="I87" s="27">
        <f>-C87*D87*G87</f>
        <v>-7.5200000000000003E-2</v>
      </c>
      <c r="J87" s="27">
        <f t="shared" si="8"/>
        <v>-1.5040000000000001E-3</v>
      </c>
      <c r="K87" s="30"/>
      <c r="M87" s="245"/>
      <c r="N87" s="24" t="s">
        <v>41</v>
      </c>
      <c r="O87" s="246"/>
    </row>
    <row r="88" spans="1:15" x14ac:dyDescent="0.25">
      <c r="A88" s="20" t="s">
        <v>28</v>
      </c>
      <c r="B88" s="2"/>
      <c r="C88" s="57">
        <f>0.891+1.104</f>
        <v>1.9950000000000001</v>
      </c>
      <c r="D88" s="65">
        <v>0.08</v>
      </c>
      <c r="E88" s="57">
        <v>0.02</v>
      </c>
      <c r="F88" s="3"/>
      <c r="G88" s="23"/>
      <c r="H88" s="3"/>
      <c r="I88" s="3">
        <f>C88*D88</f>
        <v>0.15960000000000002</v>
      </c>
      <c r="J88" s="3">
        <f t="shared" si="8"/>
        <v>3.1920000000000004E-3</v>
      </c>
      <c r="K88" s="21"/>
      <c r="M88" s="245"/>
      <c r="N88" s="24"/>
      <c r="O88" s="246"/>
    </row>
    <row r="89" spans="1:15" x14ac:dyDescent="0.25">
      <c r="A89" s="20" t="s">
        <v>18</v>
      </c>
      <c r="B89" s="2"/>
      <c r="C89" s="57">
        <f>1.097+0.16+3.016+1.272</f>
        <v>5.5449999999999999</v>
      </c>
      <c r="D89" s="65">
        <v>0.08</v>
      </c>
      <c r="E89" s="57">
        <v>0.02</v>
      </c>
      <c r="F89" s="3"/>
      <c r="G89" s="23"/>
      <c r="H89" s="3"/>
      <c r="I89" s="3">
        <f>C89*D89</f>
        <v>0.44359999999999999</v>
      </c>
      <c r="J89" s="3">
        <f t="shared" si="8"/>
        <v>8.8719999999999997E-3</v>
      </c>
      <c r="K89" s="21"/>
      <c r="M89" s="245"/>
      <c r="N89" s="24"/>
      <c r="O89" s="246"/>
    </row>
    <row r="90" spans="1:15" x14ac:dyDescent="0.25">
      <c r="A90" s="28" t="s">
        <v>232</v>
      </c>
      <c r="B90" s="29"/>
      <c r="C90" s="25">
        <v>2.9994999999999998</v>
      </c>
      <c r="D90" s="383">
        <v>0.08</v>
      </c>
      <c r="E90" s="25">
        <v>0.02</v>
      </c>
      <c r="F90" s="25"/>
      <c r="G90" s="26">
        <v>1</v>
      </c>
      <c r="H90" s="130"/>
      <c r="I90" s="27">
        <f>-C90*D90*G90</f>
        <v>-0.23995999999999998</v>
      </c>
      <c r="J90" s="27">
        <f t="shared" si="8"/>
        <v>-4.7992E-3</v>
      </c>
      <c r="K90" s="30"/>
      <c r="M90" s="245"/>
      <c r="N90" s="24" t="s">
        <v>41</v>
      </c>
      <c r="O90" s="246"/>
    </row>
    <row r="91" spans="1:15" x14ac:dyDescent="0.25">
      <c r="A91" s="20" t="s">
        <v>233</v>
      </c>
      <c r="B91" s="2"/>
      <c r="C91" s="57">
        <v>1.1040000000000001</v>
      </c>
      <c r="D91" s="65">
        <v>0.08</v>
      </c>
      <c r="E91" s="57">
        <v>0.02</v>
      </c>
      <c r="F91" s="3"/>
      <c r="G91" s="23">
        <v>2</v>
      </c>
      <c r="H91" s="3"/>
      <c r="I91" s="3">
        <f>C91*D91*G91</f>
        <v>0.17664000000000002</v>
      </c>
      <c r="J91" s="3">
        <f t="shared" si="8"/>
        <v>3.5328000000000004E-3</v>
      </c>
      <c r="K91" s="21"/>
      <c r="M91" s="245"/>
      <c r="N91" s="24"/>
      <c r="O91" s="246"/>
    </row>
    <row r="92" spans="1:15" x14ac:dyDescent="0.25">
      <c r="A92" s="20" t="s">
        <v>19</v>
      </c>
      <c r="B92" s="2"/>
      <c r="C92" s="57">
        <f>1.097+0.16+3.016+1.272</f>
        <v>5.5449999999999999</v>
      </c>
      <c r="D92" s="65">
        <v>0.08</v>
      </c>
      <c r="E92" s="57">
        <v>0.02</v>
      </c>
      <c r="F92" s="3"/>
      <c r="G92" s="23"/>
      <c r="H92" s="3"/>
      <c r="I92" s="3">
        <f>C92*D92</f>
        <v>0.44359999999999999</v>
      </c>
      <c r="J92" s="3">
        <f t="shared" si="8"/>
        <v>8.8719999999999997E-3</v>
      </c>
      <c r="K92" s="21"/>
      <c r="M92" s="245"/>
      <c r="N92" s="24"/>
      <c r="O92" s="246"/>
    </row>
    <row r="93" spans="1:15" x14ac:dyDescent="0.25">
      <c r="A93" s="28" t="s">
        <v>232</v>
      </c>
      <c r="B93" s="29"/>
      <c r="C93" s="25">
        <v>4.2605000000000004</v>
      </c>
      <c r="D93" s="383">
        <v>0.08</v>
      </c>
      <c r="E93" s="25">
        <v>0.02</v>
      </c>
      <c r="F93" s="25"/>
      <c r="G93" s="26">
        <v>1</v>
      </c>
      <c r="H93" s="130"/>
      <c r="I93" s="27">
        <f>-C93*D93*G93</f>
        <v>-0.34084000000000003</v>
      </c>
      <c r="J93" s="27">
        <f t="shared" si="8"/>
        <v>-6.8168000000000005E-3</v>
      </c>
      <c r="K93" s="30"/>
      <c r="M93" s="245"/>
      <c r="N93" s="24" t="s">
        <v>41</v>
      </c>
      <c r="O93" s="246"/>
    </row>
    <row r="94" spans="1:15" x14ac:dyDescent="0.25">
      <c r="A94" s="20"/>
      <c r="B94" s="2"/>
      <c r="C94" s="57"/>
      <c r="D94" s="57"/>
      <c r="E94" s="57"/>
      <c r="F94" s="3"/>
      <c r="G94" s="23"/>
      <c r="H94" s="3"/>
      <c r="I94" s="3"/>
      <c r="J94" s="3"/>
      <c r="K94" s="21"/>
      <c r="M94" s="245"/>
      <c r="N94" s="24" t="s">
        <v>41</v>
      </c>
      <c r="O94" s="246"/>
    </row>
    <row r="95" spans="1:15" x14ac:dyDescent="0.25">
      <c r="A95" s="45" t="s">
        <v>44</v>
      </c>
      <c r="B95" s="2"/>
      <c r="C95" s="3"/>
      <c r="D95" s="3"/>
      <c r="E95" s="3"/>
      <c r="F95" s="3"/>
      <c r="G95" s="22"/>
      <c r="H95" s="5"/>
      <c r="I95" s="3"/>
      <c r="J95" s="3"/>
      <c r="K95" s="21"/>
      <c r="M95" s="245"/>
      <c r="N95" s="24" t="s">
        <v>41</v>
      </c>
      <c r="O95" s="246"/>
    </row>
    <row r="96" spans="1:15" x14ac:dyDescent="0.25">
      <c r="A96" s="379" t="s">
        <v>192</v>
      </c>
      <c r="B96" s="2"/>
      <c r="C96" s="57"/>
      <c r="D96" s="57"/>
      <c r="E96" s="57"/>
      <c r="F96" s="3"/>
      <c r="G96" s="23"/>
      <c r="H96" s="3"/>
      <c r="I96" s="3"/>
      <c r="J96" s="3"/>
      <c r="K96" s="21"/>
      <c r="M96" s="245"/>
      <c r="N96" s="24" t="s">
        <v>41</v>
      </c>
      <c r="O96" s="246"/>
    </row>
    <row r="97" spans="1:15" x14ac:dyDescent="0.25">
      <c r="A97" s="20" t="s">
        <v>18</v>
      </c>
      <c r="B97" s="2"/>
      <c r="C97" s="57">
        <v>3.0085000000000002</v>
      </c>
      <c r="D97" s="65">
        <v>1.873</v>
      </c>
      <c r="E97" s="57">
        <v>0.02</v>
      </c>
      <c r="F97" s="3"/>
      <c r="G97" s="23"/>
      <c r="H97" s="3"/>
      <c r="I97" s="3">
        <f>C97*D97</f>
        <v>5.6349205000000007</v>
      </c>
      <c r="J97" s="3">
        <f>I97*E97</f>
        <v>0.11269841000000001</v>
      </c>
      <c r="K97" s="21"/>
      <c r="M97" s="245"/>
      <c r="N97" s="24"/>
      <c r="O97" s="246"/>
    </row>
    <row r="98" spans="1:15" x14ac:dyDescent="0.25">
      <c r="A98" s="20" t="s">
        <v>19</v>
      </c>
      <c r="B98" s="2"/>
      <c r="C98" s="57">
        <v>4.2655000000000003</v>
      </c>
      <c r="D98" s="65">
        <v>1.873</v>
      </c>
      <c r="E98" s="57">
        <v>0.02</v>
      </c>
      <c r="F98" s="3"/>
      <c r="G98" s="23"/>
      <c r="H98" s="3"/>
      <c r="I98" s="3">
        <f>C98*D98</f>
        <v>7.9892815000000006</v>
      </c>
      <c r="J98" s="3">
        <f>I98*E98</f>
        <v>0.15978563000000001</v>
      </c>
      <c r="K98" s="21"/>
      <c r="M98" s="245"/>
      <c r="N98" s="24"/>
      <c r="O98" s="246"/>
    </row>
    <row r="99" spans="1:15" x14ac:dyDescent="0.25">
      <c r="A99" s="379"/>
      <c r="B99" s="2"/>
      <c r="C99" s="57"/>
      <c r="D99" s="57"/>
      <c r="E99" s="57"/>
      <c r="F99" s="3"/>
      <c r="G99" s="23"/>
      <c r="H99" s="3"/>
      <c r="I99" s="3"/>
      <c r="J99" s="3"/>
      <c r="K99" s="21"/>
      <c r="M99" s="245"/>
      <c r="N99" s="24"/>
      <c r="O99" s="246"/>
    </row>
    <row r="100" spans="1:15" x14ac:dyDescent="0.25">
      <c r="A100" s="379" t="s">
        <v>193</v>
      </c>
      <c r="B100" s="2"/>
      <c r="C100" s="57"/>
      <c r="D100" s="65"/>
      <c r="E100" s="57"/>
      <c r="F100" s="3"/>
      <c r="G100" s="23"/>
      <c r="H100" s="3"/>
      <c r="I100" s="3"/>
      <c r="J100" s="3"/>
      <c r="K100" s="21"/>
      <c r="M100" s="245"/>
      <c r="N100" s="24" t="s">
        <v>41</v>
      </c>
      <c r="O100" s="246"/>
    </row>
    <row r="101" spans="1:15" x14ac:dyDescent="0.25">
      <c r="A101" s="20" t="s">
        <v>18</v>
      </c>
      <c r="B101" s="2"/>
      <c r="C101" s="57">
        <v>4.2954999999999997</v>
      </c>
      <c r="D101" s="65">
        <v>1.8819999999999999</v>
      </c>
      <c r="E101" s="57">
        <v>0.02</v>
      </c>
      <c r="F101" s="3"/>
      <c r="G101" s="23"/>
      <c r="H101" s="3"/>
      <c r="I101" s="3">
        <f>C101*D101</f>
        <v>8.0841309999999993</v>
      </c>
      <c r="J101" s="3">
        <f>I101*E101</f>
        <v>0.16168262</v>
      </c>
      <c r="K101" s="21"/>
      <c r="M101" s="245"/>
      <c r="N101" s="24"/>
      <c r="O101" s="246"/>
    </row>
    <row r="102" spans="1:15" x14ac:dyDescent="0.25">
      <c r="A102" s="20" t="s">
        <v>19</v>
      </c>
      <c r="B102" s="2"/>
      <c r="C102" s="57">
        <v>3.0154999999999998</v>
      </c>
      <c r="D102" s="65">
        <v>1.8819999999999999</v>
      </c>
      <c r="E102" s="57">
        <v>0.02</v>
      </c>
      <c r="F102" s="3"/>
      <c r="G102" s="23"/>
      <c r="H102" s="3"/>
      <c r="I102" s="3">
        <f>C102*D102</f>
        <v>5.6751709999999997</v>
      </c>
      <c r="J102" s="3">
        <f>I102*E102</f>
        <v>0.11350341999999999</v>
      </c>
      <c r="K102" s="21"/>
      <c r="M102" s="245"/>
      <c r="N102" s="24"/>
      <c r="O102" s="246"/>
    </row>
    <row r="103" spans="1:15" x14ac:dyDescent="0.25">
      <c r="A103" s="20"/>
      <c r="B103" s="2"/>
      <c r="C103" s="57"/>
      <c r="D103" s="65"/>
      <c r="E103" s="57"/>
      <c r="F103" s="3"/>
      <c r="G103" s="23"/>
      <c r="H103" s="3"/>
      <c r="I103" s="3"/>
      <c r="J103" s="3"/>
      <c r="K103" s="21"/>
      <c r="M103" s="245"/>
      <c r="N103" s="24"/>
      <c r="O103" s="246"/>
    </row>
    <row r="104" spans="1:15" x14ac:dyDescent="0.25">
      <c r="A104" s="379" t="s">
        <v>194</v>
      </c>
      <c r="B104" s="2"/>
      <c r="C104" s="57"/>
      <c r="D104" s="57"/>
      <c r="E104" s="57"/>
      <c r="F104" s="3"/>
      <c r="G104" s="23"/>
      <c r="H104" s="3"/>
      <c r="I104" s="3"/>
      <c r="J104" s="3"/>
      <c r="K104" s="21"/>
      <c r="M104" s="245"/>
      <c r="N104" s="24" t="s">
        <v>41</v>
      </c>
      <c r="O104" s="246"/>
    </row>
    <row r="105" spans="1:15" x14ac:dyDescent="0.25">
      <c r="A105" s="20" t="s">
        <v>18</v>
      </c>
      <c r="B105" s="2"/>
      <c r="C105" s="57">
        <v>4.2605000000000004</v>
      </c>
      <c r="D105" s="65">
        <v>1.83</v>
      </c>
      <c r="E105" s="57">
        <v>0.02</v>
      </c>
      <c r="F105" s="3"/>
      <c r="G105" s="23"/>
      <c r="H105" s="3"/>
      <c r="I105" s="3">
        <f>C105*D105</f>
        <v>7.7967150000000007</v>
      </c>
      <c r="J105" s="3">
        <f>I105*E105</f>
        <v>0.15593430000000003</v>
      </c>
      <c r="K105" s="21"/>
      <c r="M105" s="245"/>
      <c r="N105" s="24"/>
      <c r="O105" s="246"/>
    </row>
    <row r="106" spans="1:15" x14ac:dyDescent="0.25">
      <c r="A106" s="20" t="s">
        <v>19</v>
      </c>
      <c r="B106" s="2"/>
      <c r="C106" s="57">
        <v>3.0034999999999998</v>
      </c>
      <c r="D106" s="65">
        <v>1.83</v>
      </c>
      <c r="E106" s="57">
        <v>0.02</v>
      </c>
      <c r="F106" s="3"/>
      <c r="G106" s="23"/>
      <c r="H106" s="3"/>
      <c r="I106" s="3">
        <f>C106*D106</f>
        <v>5.4964050000000002</v>
      </c>
      <c r="J106" s="3">
        <f>I106*E106</f>
        <v>0.1099281</v>
      </c>
      <c r="K106" s="21"/>
      <c r="M106" s="245"/>
      <c r="N106" s="24"/>
      <c r="O106" s="246"/>
    </row>
    <row r="107" spans="1:15" x14ac:dyDescent="0.25">
      <c r="A107" s="379"/>
      <c r="B107" s="2"/>
      <c r="C107" s="57"/>
      <c r="D107" s="57"/>
      <c r="E107" s="57"/>
      <c r="F107" s="3"/>
      <c r="G107" s="23"/>
      <c r="H107" s="3"/>
      <c r="I107" s="3"/>
      <c r="J107" s="3"/>
      <c r="K107" s="21"/>
      <c r="M107" s="245"/>
      <c r="N107" s="24"/>
      <c r="O107" s="246"/>
    </row>
    <row r="108" spans="1:15" x14ac:dyDescent="0.25">
      <c r="A108" s="379" t="s">
        <v>193</v>
      </c>
      <c r="B108" s="2"/>
      <c r="C108" s="57"/>
      <c r="D108" s="57"/>
      <c r="E108" s="57"/>
      <c r="F108" s="3"/>
      <c r="G108" s="23"/>
      <c r="H108" s="3"/>
      <c r="I108" s="3"/>
      <c r="J108" s="3"/>
      <c r="K108" s="21"/>
      <c r="M108" s="245"/>
      <c r="N108" s="24" t="s">
        <v>41</v>
      </c>
      <c r="O108" s="246"/>
    </row>
    <row r="109" spans="1:15" x14ac:dyDescent="0.25">
      <c r="A109" s="20" t="s">
        <v>18</v>
      </c>
      <c r="B109" s="2"/>
      <c r="C109" s="57">
        <v>2.9994999999999998</v>
      </c>
      <c r="D109" s="65">
        <v>1.89</v>
      </c>
      <c r="E109" s="57">
        <v>0.02</v>
      </c>
      <c r="F109" s="3"/>
      <c r="G109" s="23"/>
      <c r="H109" s="3"/>
      <c r="I109" s="3">
        <f>C109*D109</f>
        <v>5.6690549999999993</v>
      </c>
      <c r="J109" s="3">
        <f>I109*E109</f>
        <v>0.11338109999999998</v>
      </c>
      <c r="K109" s="21"/>
      <c r="M109" s="245"/>
      <c r="N109" s="24"/>
      <c r="O109" s="246"/>
    </row>
    <row r="110" spans="1:15" x14ac:dyDescent="0.25">
      <c r="A110" s="20" t="s">
        <v>19</v>
      </c>
      <c r="B110" s="2"/>
      <c r="C110" s="57">
        <v>4.2605000000000004</v>
      </c>
      <c r="D110" s="65">
        <v>1.89</v>
      </c>
      <c r="E110" s="57">
        <v>0.02</v>
      </c>
      <c r="F110" s="3"/>
      <c r="G110" s="23"/>
      <c r="H110" s="3"/>
      <c r="I110" s="3">
        <f>C110*D110</f>
        <v>8.0523450000000008</v>
      </c>
      <c r="J110" s="3">
        <f>I110*E110</f>
        <v>0.16104690000000002</v>
      </c>
      <c r="K110" s="21"/>
      <c r="M110" s="245"/>
      <c r="N110" s="24"/>
      <c r="O110" s="246"/>
    </row>
    <row r="111" spans="1:15" ht="60" x14ac:dyDescent="0.25">
      <c r="A111" s="266" t="s">
        <v>234</v>
      </c>
      <c r="B111" s="11" t="s">
        <v>37</v>
      </c>
      <c r="C111" s="12"/>
      <c r="D111" s="12"/>
      <c r="E111" s="12"/>
      <c r="F111" s="12"/>
      <c r="G111" s="14"/>
      <c r="H111" s="15"/>
      <c r="I111" s="16">
        <f>SUM(I112:I164)</f>
        <v>133.13604299999997</v>
      </c>
      <c r="J111" s="17">
        <f>SUM(J112:J164)</f>
        <v>0.53254417200000004</v>
      </c>
      <c r="K111" s="1" t="s">
        <v>30</v>
      </c>
      <c r="M111" s="382">
        <v>132.91999999999999</v>
      </c>
      <c r="N111" s="13">
        <f>M111-I111</f>
        <v>-0.21604299999998489</v>
      </c>
      <c r="O111" s="248">
        <f>N111/M111</f>
        <v>-1.6253611194702445E-3</v>
      </c>
    </row>
    <row r="112" spans="1:15" x14ac:dyDescent="0.25">
      <c r="A112" s="379" t="s">
        <v>192</v>
      </c>
      <c r="B112" s="2"/>
      <c r="C112" s="57"/>
      <c r="D112" s="57"/>
      <c r="E112" s="57"/>
      <c r="F112" s="3"/>
      <c r="G112" s="23"/>
      <c r="H112" s="3"/>
      <c r="I112" s="3"/>
      <c r="J112" s="3"/>
      <c r="K112" s="21"/>
      <c r="M112" s="245"/>
      <c r="N112" s="24" t="s">
        <v>41</v>
      </c>
      <c r="O112" s="246"/>
    </row>
    <row r="113" spans="1:15" x14ac:dyDescent="0.25">
      <c r="A113" s="20" t="s">
        <v>31</v>
      </c>
      <c r="B113" s="2"/>
      <c r="C113" s="57">
        <f>2.967</f>
        <v>2.9670000000000001</v>
      </c>
      <c r="D113" s="65">
        <f>2.799+0.1</f>
        <v>2.899</v>
      </c>
      <c r="E113" s="65">
        <v>4.0000000000000001E-3</v>
      </c>
      <c r="F113" s="3"/>
      <c r="G113" s="23"/>
      <c r="H113" s="3"/>
      <c r="I113" s="3">
        <f>C113*D113</f>
        <v>8.6013330000000003</v>
      </c>
      <c r="J113" s="3">
        <f t="shared" ref="J113:J124" si="9">I113*E113</f>
        <v>3.4405332000000004E-2</v>
      </c>
      <c r="K113" s="21"/>
      <c r="M113" s="245"/>
      <c r="N113" s="24"/>
      <c r="O113" s="246"/>
    </row>
    <row r="114" spans="1:15" x14ac:dyDescent="0.25">
      <c r="A114" s="28" t="s">
        <v>200</v>
      </c>
      <c r="B114" s="29"/>
      <c r="C114" s="25">
        <v>0.94</v>
      </c>
      <c r="D114" s="383">
        <f>2.14-0.08</f>
        <v>2.06</v>
      </c>
      <c r="E114" s="383">
        <v>4.0000000000000001E-3</v>
      </c>
      <c r="F114" s="25"/>
      <c r="G114" s="26">
        <v>1</v>
      </c>
      <c r="H114" s="130"/>
      <c r="I114" s="27">
        <f>-C114*D114*G114</f>
        <v>-1.9363999999999999</v>
      </c>
      <c r="J114" s="27">
        <f t="shared" si="9"/>
        <v>-7.7456000000000001E-3</v>
      </c>
      <c r="K114" s="30"/>
      <c r="M114" s="245"/>
      <c r="N114" s="24" t="s">
        <v>41</v>
      </c>
      <c r="O114" s="246"/>
    </row>
    <row r="115" spans="1:15" x14ac:dyDescent="0.25">
      <c r="A115" s="20" t="s">
        <v>28</v>
      </c>
      <c r="B115" s="2"/>
      <c r="C115" s="57">
        <f>2.967</f>
        <v>2.9670000000000001</v>
      </c>
      <c r="D115" s="65">
        <v>2.31</v>
      </c>
      <c r="E115" s="65">
        <v>4.0000000000000001E-3</v>
      </c>
      <c r="F115" s="3"/>
      <c r="G115" s="23"/>
      <c r="H115" s="3"/>
      <c r="I115" s="3">
        <f>C115*D115</f>
        <v>6.8537699999999999</v>
      </c>
      <c r="J115" s="3">
        <f t="shared" si="9"/>
        <v>2.7415080000000001E-2</v>
      </c>
      <c r="K115" s="21"/>
      <c r="M115" s="245"/>
      <c r="N115" s="24"/>
      <c r="O115" s="246"/>
    </row>
    <row r="116" spans="1:15" x14ac:dyDescent="0.25">
      <c r="A116" s="20" t="s">
        <v>203</v>
      </c>
      <c r="B116" s="2"/>
      <c r="C116" s="57">
        <f>2.967</f>
        <v>2.9670000000000001</v>
      </c>
      <c r="D116" s="65">
        <v>0.17499999999999999</v>
      </c>
      <c r="E116" s="65">
        <v>4.0000000000000001E-3</v>
      </c>
      <c r="F116" s="3"/>
      <c r="G116" s="23"/>
      <c r="H116" s="3"/>
      <c r="I116" s="3">
        <f>C116*D116</f>
        <v>0.51922499999999994</v>
      </c>
      <c r="J116" s="3">
        <f t="shared" si="9"/>
        <v>2.0768999999999996E-3</v>
      </c>
      <c r="K116" s="21"/>
      <c r="M116" s="245"/>
      <c r="N116" s="24"/>
      <c r="O116" s="246"/>
    </row>
    <row r="117" spans="1:15" x14ac:dyDescent="0.25">
      <c r="A117" s="20" t="s">
        <v>18</v>
      </c>
      <c r="B117" s="2"/>
      <c r="C117" s="57">
        <f>1.265+3.021+0.16+1.097</f>
        <v>5.5429999999999993</v>
      </c>
      <c r="D117" s="65">
        <f>2.799+0.1</f>
        <v>2.899</v>
      </c>
      <c r="E117" s="65">
        <v>4.0000000000000001E-3</v>
      </c>
      <c r="F117" s="3"/>
      <c r="G117" s="23"/>
      <c r="H117" s="3"/>
      <c r="I117" s="3">
        <f>C117*D117</f>
        <v>16.069156999999997</v>
      </c>
      <c r="J117" s="3">
        <f t="shared" si="9"/>
        <v>6.4276627999999988E-2</v>
      </c>
      <c r="K117" s="21"/>
      <c r="M117" s="245"/>
      <c r="N117" s="24"/>
      <c r="O117" s="246"/>
    </row>
    <row r="118" spans="1:15" x14ac:dyDescent="0.25">
      <c r="A118" s="28" t="s">
        <v>232</v>
      </c>
      <c r="B118" s="29"/>
      <c r="C118" s="25">
        <v>3.0209999999999999</v>
      </c>
      <c r="D118" s="383">
        <f>1.873-0.08</f>
        <v>1.7929999999999999</v>
      </c>
      <c r="E118" s="383">
        <v>4.0000000000000001E-3</v>
      </c>
      <c r="F118" s="25"/>
      <c r="G118" s="26">
        <v>1</v>
      </c>
      <c r="H118" s="130"/>
      <c r="I118" s="27">
        <f>-C118*D118*G118</f>
        <v>-5.4166529999999993</v>
      </c>
      <c r="J118" s="27">
        <f t="shared" si="9"/>
        <v>-2.1666611999999998E-2</v>
      </c>
      <c r="K118" s="30"/>
      <c r="M118" s="245"/>
      <c r="N118" s="24" t="s">
        <v>41</v>
      </c>
      <c r="O118" s="246"/>
    </row>
    <row r="119" spans="1:15" x14ac:dyDescent="0.25">
      <c r="A119" s="20" t="s">
        <v>235</v>
      </c>
      <c r="B119" s="2"/>
      <c r="C119" s="57">
        <v>0.87</v>
      </c>
      <c r="D119" s="65">
        <v>0.17499999999999999</v>
      </c>
      <c r="E119" s="65">
        <v>4.0000000000000001E-3</v>
      </c>
      <c r="F119" s="3"/>
      <c r="G119" s="23"/>
      <c r="H119" s="3"/>
      <c r="I119" s="3">
        <f>C119*D119</f>
        <v>0.15225</v>
      </c>
      <c r="J119" s="3">
        <f t="shared" si="9"/>
        <v>6.0899999999999995E-4</v>
      </c>
      <c r="K119" s="21"/>
      <c r="M119" s="245"/>
      <c r="N119" s="24"/>
      <c r="O119" s="246"/>
    </row>
    <row r="120" spans="1:15" x14ac:dyDescent="0.25">
      <c r="A120" s="20" t="s">
        <v>233</v>
      </c>
      <c r="B120" s="2"/>
      <c r="C120" s="57">
        <v>1.7090000000000001</v>
      </c>
      <c r="D120" s="65">
        <f>1.873-0.08</f>
        <v>1.7929999999999999</v>
      </c>
      <c r="E120" s="65">
        <v>4.0000000000000001E-3</v>
      </c>
      <c r="F120" s="3"/>
      <c r="G120" s="23">
        <v>2</v>
      </c>
      <c r="H120" s="3"/>
      <c r="I120" s="3">
        <f>C120*D120*G120</f>
        <v>6.1284739999999998</v>
      </c>
      <c r="J120" s="3">
        <f t="shared" si="9"/>
        <v>2.4513896E-2</v>
      </c>
      <c r="K120" s="21"/>
      <c r="M120" s="245"/>
      <c r="N120" s="24"/>
      <c r="O120" s="246"/>
    </row>
    <row r="121" spans="1:15" x14ac:dyDescent="0.25">
      <c r="A121" s="20" t="s">
        <v>239</v>
      </c>
      <c r="B121" s="2"/>
      <c r="C121" s="57">
        <v>1.7090000000000001</v>
      </c>
      <c r="D121" s="65">
        <v>0.16</v>
      </c>
      <c r="E121" s="65">
        <v>4.0000000000000001E-3</v>
      </c>
      <c r="F121" s="3"/>
      <c r="G121" s="23">
        <v>1</v>
      </c>
      <c r="H121" s="3"/>
      <c r="I121" s="3">
        <f>C121*D121*G121</f>
        <v>0.27344000000000002</v>
      </c>
      <c r="J121" s="3">
        <f t="shared" si="9"/>
        <v>1.09376E-3</v>
      </c>
      <c r="K121" s="21"/>
      <c r="M121" s="245"/>
      <c r="N121" s="24"/>
      <c r="O121" s="246"/>
    </row>
    <row r="122" spans="1:15" x14ac:dyDescent="0.25">
      <c r="A122" s="20" t="s">
        <v>19</v>
      </c>
      <c r="B122" s="2"/>
      <c r="C122" s="57">
        <f>1.265+3.021+0.16+1.097</f>
        <v>5.5429999999999993</v>
      </c>
      <c r="D122" s="65">
        <f>2.799+0.1</f>
        <v>2.899</v>
      </c>
      <c r="E122" s="65">
        <v>4.0000000000000001E-3</v>
      </c>
      <c r="F122" s="3"/>
      <c r="G122" s="23"/>
      <c r="H122" s="3"/>
      <c r="I122" s="3">
        <f>C122*D122</f>
        <v>16.069156999999997</v>
      </c>
      <c r="J122" s="3">
        <f t="shared" si="9"/>
        <v>6.4276627999999988E-2</v>
      </c>
      <c r="K122" s="21"/>
      <c r="M122" s="245"/>
      <c r="N122" s="24"/>
      <c r="O122" s="246"/>
    </row>
    <row r="123" spans="1:15" x14ac:dyDescent="0.25">
      <c r="A123" s="28" t="s">
        <v>232</v>
      </c>
      <c r="B123" s="29"/>
      <c r="C123" s="25">
        <f>3.021+0.16+1.097</f>
        <v>4.2780000000000005</v>
      </c>
      <c r="D123" s="383">
        <f>1.873-0.08</f>
        <v>1.7929999999999999</v>
      </c>
      <c r="E123" s="383">
        <v>4.0000000000000001E-3</v>
      </c>
      <c r="F123" s="25"/>
      <c r="G123" s="26">
        <v>1</v>
      </c>
      <c r="H123" s="130"/>
      <c r="I123" s="27">
        <f>-C123*D123*G123</f>
        <v>-7.6704540000000003</v>
      </c>
      <c r="J123" s="27">
        <f t="shared" si="9"/>
        <v>-3.0681816000000001E-2</v>
      </c>
      <c r="K123" s="30"/>
      <c r="M123" s="245"/>
      <c r="N123" s="24" t="s">
        <v>41</v>
      </c>
      <c r="O123" s="246"/>
    </row>
    <row r="124" spans="1:15" x14ac:dyDescent="0.25">
      <c r="A124" s="20" t="s">
        <v>235</v>
      </c>
      <c r="B124" s="2"/>
      <c r="C124" s="57">
        <v>0.87</v>
      </c>
      <c r="D124" s="65">
        <v>0.17499999999999999</v>
      </c>
      <c r="E124" s="65">
        <v>4.0000000000000001E-3</v>
      </c>
      <c r="F124" s="3"/>
      <c r="G124" s="23"/>
      <c r="H124" s="3"/>
      <c r="I124" s="3">
        <f>C124*D124</f>
        <v>0.15225</v>
      </c>
      <c r="J124" s="3">
        <f t="shared" si="9"/>
        <v>6.0899999999999995E-4</v>
      </c>
      <c r="K124" s="21"/>
      <c r="M124" s="245"/>
      <c r="N124" s="24"/>
      <c r="O124" s="246"/>
    </row>
    <row r="125" spans="1:15" x14ac:dyDescent="0.25">
      <c r="A125" s="379"/>
      <c r="B125" s="2"/>
      <c r="C125" s="57"/>
      <c r="D125" s="57"/>
      <c r="E125" s="57"/>
      <c r="F125" s="3"/>
      <c r="G125" s="23"/>
      <c r="H125" s="3"/>
      <c r="I125" s="3"/>
      <c r="J125" s="3"/>
      <c r="K125" s="21"/>
      <c r="M125" s="245"/>
      <c r="N125" s="24"/>
      <c r="O125" s="246"/>
    </row>
    <row r="126" spans="1:15" x14ac:dyDescent="0.25">
      <c r="A126" s="379" t="s">
        <v>193</v>
      </c>
      <c r="B126" s="2"/>
      <c r="C126" s="57"/>
      <c r="D126" s="65"/>
      <c r="E126" s="57"/>
      <c r="F126" s="3"/>
      <c r="G126" s="23"/>
      <c r="H126" s="3"/>
      <c r="I126" s="3"/>
      <c r="J126" s="3"/>
      <c r="K126" s="21"/>
      <c r="M126" s="245"/>
      <c r="N126" s="24" t="s">
        <v>41</v>
      </c>
      <c r="O126" s="246"/>
    </row>
    <row r="127" spans="1:15" x14ac:dyDescent="0.25">
      <c r="A127" s="20" t="s">
        <v>31</v>
      </c>
      <c r="B127" s="2"/>
      <c r="C127" s="57">
        <v>2</v>
      </c>
      <c r="D127" s="65">
        <f>1.75+1.049+0.1</f>
        <v>2.899</v>
      </c>
      <c r="E127" s="65">
        <v>4.0000000000000001E-3</v>
      </c>
      <c r="F127" s="3"/>
      <c r="G127" s="23"/>
      <c r="H127" s="3"/>
      <c r="I127" s="3">
        <f>C127*D127</f>
        <v>5.798</v>
      </c>
      <c r="J127" s="3">
        <f t="shared" ref="J127:J138" si="10">I127*E127</f>
        <v>2.3192000000000001E-2</v>
      </c>
      <c r="K127" s="21"/>
      <c r="M127" s="245"/>
      <c r="N127" s="24"/>
      <c r="O127" s="246"/>
    </row>
    <row r="128" spans="1:15" x14ac:dyDescent="0.25">
      <c r="A128" s="28" t="s">
        <v>200</v>
      </c>
      <c r="B128" s="29"/>
      <c r="C128" s="25">
        <v>0.94</v>
      </c>
      <c r="D128" s="383">
        <f>2.14-0.08</f>
        <v>2.06</v>
      </c>
      <c r="E128" s="383">
        <v>4.0000000000000001E-3</v>
      </c>
      <c r="F128" s="25"/>
      <c r="G128" s="26">
        <v>1</v>
      </c>
      <c r="H128" s="130"/>
      <c r="I128" s="27">
        <f>-C128*D128*G128</f>
        <v>-1.9363999999999999</v>
      </c>
      <c r="J128" s="27">
        <f t="shared" si="10"/>
        <v>-7.7456000000000001E-3</v>
      </c>
      <c r="K128" s="30"/>
      <c r="M128" s="245"/>
      <c r="N128" s="24" t="s">
        <v>41</v>
      </c>
      <c r="O128" s="246"/>
    </row>
    <row r="129" spans="1:15" x14ac:dyDescent="0.25">
      <c r="A129" s="20" t="s">
        <v>28</v>
      </c>
      <c r="B129" s="2"/>
      <c r="C129" s="57">
        <v>2</v>
      </c>
      <c r="D129" s="65">
        <v>2.2000000000000002</v>
      </c>
      <c r="E129" s="65">
        <v>4.0000000000000001E-3</v>
      </c>
      <c r="F129" s="3"/>
      <c r="G129" s="23"/>
      <c r="H129" s="3"/>
      <c r="I129" s="3">
        <f>C129*D129</f>
        <v>4.4000000000000004</v>
      </c>
      <c r="J129" s="3">
        <f t="shared" si="10"/>
        <v>1.7600000000000001E-2</v>
      </c>
      <c r="K129" s="21"/>
      <c r="M129" s="245"/>
      <c r="N129" s="24"/>
      <c r="O129" s="246"/>
    </row>
    <row r="130" spans="1:15" x14ac:dyDescent="0.25">
      <c r="A130" s="20" t="s">
        <v>203</v>
      </c>
      <c r="B130" s="2"/>
      <c r="C130" s="57">
        <v>2</v>
      </c>
      <c r="D130" s="65">
        <v>0.17499999999999999</v>
      </c>
      <c r="E130" s="65">
        <v>4.0000000000000001E-3</v>
      </c>
      <c r="F130" s="3"/>
      <c r="G130" s="23"/>
      <c r="H130" s="3"/>
      <c r="I130" s="3">
        <f>C130*D130</f>
        <v>0.35</v>
      </c>
      <c r="J130" s="3">
        <f t="shared" si="10"/>
        <v>1.4E-3</v>
      </c>
      <c r="K130" s="21"/>
      <c r="M130" s="245"/>
      <c r="N130" s="24"/>
      <c r="O130" s="246"/>
    </row>
    <row r="131" spans="1:15" x14ac:dyDescent="0.25">
      <c r="A131" s="20" t="s">
        <v>18</v>
      </c>
      <c r="B131" s="2"/>
      <c r="C131" s="57">
        <f>1.265+3.021+0.16+1.097</f>
        <v>5.5429999999999993</v>
      </c>
      <c r="D131" s="65">
        <f>1.75+1.049+0.1</f>
        <v>2.899</v>
      </c>
      <c r="E131" s="65">
        <v>4.0000000000000001E-3</v>
      </c>
      <c r="F131" s="3"/>
      <c r="G131" s="23"/>
      <c r="H131" s="3"/>
      <c r="I131" s="3">
        <f>C131*D131</f>
        <v>16.069156999999997</v>
      </c>
      <c r="J131" s="3">
        <f t="shared" si="10"/>
        <v>6.4276627999999988E-2</v>
      </c>
      <c r="K131" s="21"/>
      <c r="M131" s="245"/>
      <c r="N131" s="24"/>
      <c r="O131" s="246"/>
    </row>
    <row r="132" spans="1:15" x14ac:dyDescent="0.25">
      <c r="A132" s="28" t="s">
        <v>232</v>
      </c>
      <c r="B132" s="29"/>
      <c r="C132" s="25">
        <f>3.013+0.16+1.105</f>
        <v>4.2780000000000005</v>
      </c>
      <c r="D132" s="383">
        <f>1.882-0.08</f>
        <v>1.8019999999999998</v>
      </c>
      <c r="E132" s="383">
        <v>4.0000000000000001E-3</v>
      </c>
      <c r="F132" s="25"/>
      <c r="G132" s="26">
        <v>1</v>
      </c>
      <c r="H132" s="130"/>
      <c r="I132" s="27">
        <f>-C132*D132*G132</f>
        <v>-7.7089559999999997</v>
      </c>
      <c r="J132" s="27">
        <f t="shared" si="10"/>
        <v>-3.0835823999999998E-2</v>
      </c>
      <c r="K132" s="30"/>
      <c r="M132" s="245"/>
      <c r="N132" s="24" t="s">
        <v>41</v>
      </c>
      <c r="O132" s="246"/>
    </row>
    <row r="133" spans="1:15" x14ac:dyDescent="0.25">
      <c r="A133" s="20" t="s">
        <v>235</v>
      </c>
      <c r="B133" s="2"/>
      <c r="C133" s="57">
        <v>0.87</v>
      </c>
      <c r="D133" s="65">
        <v>0.17499999999999999</v>
      </c>
      <c r="E133" s="65">
        <v>4.0000000000000001E-3</v>
      </c>
      <c r="F133" s="3"/>
      <c r="G133" s="23"/>
      <c r="H133" s="3"/>
      <c r="I133" s="3">
        <f>C133*D133</f>
        <v>0.15225</v>
      </c>
      <c r="J133" s="3">
        <f t="shared" si="10"/>
        <v>6.0899999999999995E-4</v>
      </c>
      <c r="K133" s="21"/>
      <c r="M133" s="245"/>
      <c r="N133" s="24"/>
      <c r="O133" s="246"/>
    </row>
    <row r="134" spans="1:15" x14ac:dyDescent="0.25">
      <c r="A134" s="20" t="s">
        <v>19</v>
      </c>
      <c r="B134" s="2"/>
      <c r="C134" s="57">
        <f>1.265+3.021+0.16+1.097</f>
        <v>5.5429999999999993</v>
      </c>
      <c r="D134" s="65">
        <f>1.75+1.049+0.1</f>
        <v>2.899</v>
      </c>
      <c r="E134" s="65">
        <v>4.0000000000000001E-3</v>
      </c>
      <c r="F134" s="3"/>
      <c r="G134" s="23"/>
      <c r="H134" s="3"/>
      <c r="I134" s="3">
        <f>C134*D134</f>
        <v>16.069156999999997</v>
      </c>
      <c r="J134" s="3">
        <f t="shared" si="10"/>
        <v>6.4276627999999988E-2</v>
      </c>
      <c r="K134" s="21"/>
      <c r="M134" s="245"/>
      <c r="N134" s="24"/>
      <c r="O134" s="246"/>
    </row>
    <row r="135" spans="1:15" x14ac:dyDescent="0.25">
      <c r="A135" s="28" t="s">
        <v>232</v>
      </c>
      <c r="B135" s="29"/>
      <c r="C135" s="25">
        <v>3.0129999999999999</v>
      </c>
      <c r="D135" s="383">
        <f>1.882-0.08</f>
        <v>1.8019999999999998</v>
      </c>
      <c r="E135" s="383">
        <v>4.0000000000000001E-3</v>
      </c>
      <c r="F135" s="25"/>
      <c r="G135" s="26">
        <v>1</v>
      </c>
      <c r="H135" s="130"/>
      <c r="I135" s="27">
        <f>-C135*D135*G135</f>
        <v>-5.4294259999999994</v>
      </c>
      <c r="J135" s="27">
        <f t="shared" si="10"/>
        <v>-2.1717703999999997E-2</v>
      </c>
      <c r="K135" s="30"/>
      <c r="M135" s="245"/>
      <c r="N135" s="24" t="s">
        <v>41</v>
      </c>
      <c r="O135" s="246"/>
    </row>
    <row r="136" spans="1:15" x14ac:dyDescent="0.25">
      <c r="A136" s="20" t="s">
        <v>233</v>
      </c>
      <c r="B136" s="2"/>
      <c r="C136" s="57">
        <v>1.1180000000000001</v>
      </c>
      <c r="D136" s="65">
        <f>1.882-0.07</f>
        <v>1.8119999999999998</v>
      </c>
      <c r="E136" s="65">
        <v>4.0000000000000001E-3</v>
      </c>
      <c r="F136" s="3"/>
      <c r="G136" s="23">
        <v>2</v>
      </c>
      <c r="H136" s="3"/>
      <c r="I136" s="3">
        <f>C136*D136*G136</f>
        <v>4.0516319999999997</v>
      </c>
      <c r="J136" s="3">
        <f t="shared" si="10"/>
        <v>1.6206527999999998E-2</v>
      </c>
      <c r="K136" s="21"/>
      <c r="M136" s="245"/>
      <c r="N136" s="24"/>
      <c r="O136" s="246"/>
    </row>
    <row r="137" spans="1:15" x14ac:dyDescent="0.25">
      <c r="A137" s="20" t="s">
        <v>239</v>
      </c>
      <c r="B137" s="2"/>
      <c r="C137" s="57">
        <v>1.1180000000000001</v>
      </c>
      <c r="D137" s="65">
        <v>0.16</v>
      </c>
      <c r="E137" s="65">
        <v>4.0000000000000001E-3</v>
      </c>
      <c r="F137" s="3"/>
      <c r="G137" s="23">
        <v>1</v>
      </c>
      <c r="H137" s="3"/>
      <c r="I137" s="3">
        <f>C137*D137*G137</f>
        <v>0.17888000000000001</v>
      </c>
      <c r="J137" s="3">
        <f t="shared" si="10"/>
        <v>7.1552000000000009E-4</v>
      </c>
      <c r="K137" s="21"/>
      <c r="M137" s="245"/>
      <c r="N137" s="24"/>
      <c r="O137" s="246"/>
    </row>
    <row r="138" spans="1:15" x14ac:dyDescent="0.25">
      <c r="A138" s="20" t="s">
        <v>235</v>
      </c>
      <c r="B138" s="2"/>
      <c r="C138" s="57">
        <v>0.87</v>
      </c>
      <c r="D138" s="65">
        <v>0.17499999999999999</v>
      </c>
      <c r="E138" s="65">
        <v>4.0000000000000001E-3</v>
      </c>
      <c r="F138" s="3"/>
      <c r="G138" s="23"/>
      <c r="H138" s="3"/>
      <c r="I138" s="3">
        <f>C138*D138</f>
        <v>0.15225</v>
      </c>
      <c r="J138" s="3">
        <f t="shared" si="10"/>
        <v>6.0899999999999995E-4</v>
      </c>
      <c r="K138" s="21"/>
      <c r="M138" s="245"/>
      <c r="N138" s="24"/>
      <c r="O138" s="246"/>
    </row>
    <row r="139" spans="1:15" x14ac:dyDescent="0.25">
      <c r="A139" s="20"/>
      <c r="B139" s="2"/>
      <c r="C139" s="57"/>
      <c r="D139" s="65"/>
      <c r="E139" s="65"/>
      <c r="F139" s="3"/>
      <c r="G139" s="23"/>
      <c r="H139" s="3"/>
      <c r="I139" s="3"/>
      <c r="J139" s="3"/>
      <c r="K139" s="21"/>
      <c r="M139" s="245"/>
      <c r="N139" s="24"/>
      <c r="O139" s="246"/>
    </row>
    <row r="140" spans="1:15" x14ac:dyDescent="0.25">
      <c r="A140" s="379" t="s">
        <v>194</v>
      </c>
      <c r="B140" s="2"/>
      <c r="C140" s="57"/>
      <c r="D140" s="57"/>
      <c r="E140" s="65"/>
      <c r="F140" s="3"/>
      <c r="G140" s="23"/>
      <c r="H140" s="3"/>
      <c r="I140" s="3"/>
      <c r="J140" s="3"/>
      <c r="K140" s="21"/>
      <c r="M140" s="245"/>
      <c r="N140" s="24" t="s">
        <v>41</v>
      </c>
      <c r="O140" s="246"/>
    </row>
    <row r="141" spans="1:15" x14ac:dyDescent="0.25">
      <c r="A141" s="20" t="s">
        <v>31</v>
      </c>
      <c r="B141" s="2"/>
      <c r="C141" s="57">
        <f>1.715+1.26</f>
        <v>2.9750000000000001</v>
      </c>
      <c r="D141" s="65">
        <f>2.979-0.08</f>
        <v>2.899</v>
      </c>
      <c r="E141" s="65">
        <v>4.0000000000000001E-3</v>
      </c>
      <c r="F141" s="3"/>
      <c r="G141" s="23"/>
      <c r="H141" s="3"/>
      <c r="I141" s="3">
        <f>C141*D141</f>
        <v>8.6245250000000002</v>
      </c>
      <c r="J141" s="3">
        <f t="shared" ref="J141:J148" si="11">I141*E141</f>
        <v>3.4498100000000004E-2</v>
      </c>
      <c r="K141" s="21"/>
      <c r="M141" s="245"/>
      <c r="N141" s="24"/>
      <c r="O141" s="246"/>
    </row>
    <row r="142" spans="1:15" x14ac:dyDescent="0.25">
      <c r="A142" s="28" t="s">
        <v>200</v>
      </c>
      <c r="B142" s="29"/>
      <c r="C142" s="25">
        <v>0.94</v>
      </c>
      <c r="D142" s="383">
        <f>2.14-0.08</f>
        <v>2.06</v>
      </c>
      <c r="E142" s="383">
        <v>4.0000000000000001E-3</v>
      </c>
      <c r="F142" s="25"/>
      <c r="G142" s="26">
        <v>1</v>
      </c>
      <c r="H142" s="130"/>
      <c r="I142" s="27">
        <f>-C142*D142*G142</f>
        <v>-1.9363999999999999</v>
      </c>
      <c r="J142" s="27">
        <f t="shared" si="11"/>
        <v>-7.7456000000000001E-3</v>
      </c>
      <c r="K142" s="30"/>
      <c r="M142" s="245"/>
      <c r="N142" s="24" t="s">
        <v>41</v>
      </c>
      <c r="O142" s="246"/>
    </row>
    <row r="143" spans="1:15" x14ac:dyDescent="0.25">
      <c r="A143" s="20" t="s">
        <v>28</v>
      </c>
      <c r="B143" s="2"/>
      <c r="C143" s="57">
        <f>1.715+1.26</f>
        <v>2.9750000000000001</v>
      </c>
      <c r="D143" s="65">
        <v>2.2000000000000002</v>
      </c>
      <c r="E143" s="65">
        <v>4.0000000000000001E-3</v>
      </c>
      <c r="F143" s="3"/>
      <c r="G143" s="23"/>
      <c r="H143" s="3"/>
      <c r="I143" s="3">
        <f>C143*D143</f>
        <v>6.5450000000000008</v>
      </c>
      <c r="J143" s="3">
        <f t="shared" si="11"/>
        <v>2.6180000000000005E-2</v>
      </c>
      <c r="K143" s="21"/>
      <c r="M143" s="245"/>
      <c r="N143" s="24"/>
      <c r="O143" s="246"/>
    </row>
    <row r="144" spans="1:15" x14ac:dyDescent="0.25">
      <c r="A144" s="20" t="s">
        <v>203</v>
      </c>
      <c r="B144" s="2"/>
      <c r="C144" s="57">
        <f>1.715+1.26</f>
        <v>2.9750000000000001</v>
      </c>
      <c r="D144" s="65">
        <v>0.17499999999999999</v>
      </c>
      <c r="E144" s="65">
        <v>4.0000000000000001E-3</v>
      </c>
      <c r="F144" s="3"/>
      <c r="G144" s="23"/>
      <c r="H144" s="3"/>
      <c r="I144" s="3">
        <f>C144*D144</f>
        <v>0.520625</v>
      </c>
      <c r="J144" s="3">
        <f t="shared" si="11"/>
        <v>2.0825000000000001E-3</v>
      </c>
      <c r="K144" s="21"/>
      <c r="M144" s="245"/>
      <c r="N144" s="24"/>
      <c r="O144" s="246"/>
    </row>
    <row r="145" spans="1:15" x14ac:dyDescent="0.25">
      <c r="A145" s="20" t="s">
        <v>18</v>
      </c>
      <c r="B145" s="2"/>
      <c r="C145" s="57">
        <f>1.097+0.16+3.016+1.272</f>
        <v>5.5449999999999999</v>
      </c>
      <c r="D145" s="65">
        <f>2.979-0.08</f>
        <v>2.899</v>
      </c>
      <c r="E145" s="65">
        <v>4.0000000000000001E-3</v>
      </c>
      <c r="F145" s="3"/>
      <c r="G145" s="23"/>
      <c r="H145" s="3"/>
      <c r="I145" s="3">
        <f>C145*D145</f>
        <v>16.074954999999999</v>
      </c>
      <c r="J145" s="3">
        <f t="shared" si="11"/>
        <v>6.4299819999999994E-2</v>
      </c>
      <c r="K145" s="21"/>
      <c r="M145" s="245"/>
      <c r="N145" s="24"/>
      <c r="O145" s="246"/>
    </row>
    <row r="146" spans="1:15" x14ac:dyDescent="0.25">
      <c r="A146" s="28" t="s">
        <v>232</v>
      </c>
      <c r="B146" s="29"/>
      <c r="C146" s="25">
        <f>3.106+0.16+1.097</f>
        <v>4.3629999999999995</v>
      </c>
      <c r="D146" s="383">
        <f>1.83-0.08</f>
        <v>1.75</v>
      </c>
      <c r="E146" s="383">
        <v>4.0000000000000001E-3</v>
      </c>
      <c r="F146" s="25"/>
      <c r="G146" s="26">
        <v>1</v>
      </c>
      <c r="H146" s="130"/>
      <c r="I146" s="27">
        <f>-C146*D146*G146</f>
        <v>-7.6352499999999992</v>
      </c>
      <c r="J146" s="27">
        <f t="shared" si="11"/>
        <v>-3.0540999999999999E-2</v>
      </c>
      <c r="K146" s="30"/>
      <c r="M146" s="245"/>
      <c r="N146" s="24" t="s">
        <v>41</v>
      </c>
      <c r="O146" s="246"/>
    </row>
    <row r="147" spans="1:15" x14ac:dyDescent="0.25">
      <c r="A147" s="20" t="s">
        <v>235</v>
      </c>
      <c r="B147" s="2"/>
      <c r="C147" s="57">
        <v>0.87</v>
      </c>
      <c r="D147" s="65">
        <v>0.17499999999999999</v>
      </c>
      <c r="E147" s="65">
        <v>4.0000000000000001E-3</v>
      </c>
      <c r="F147" s="3"/>
      <c r="G147" s="23"/>
      <c r="H147" s="3"/>
      <c r="I147" s="3">
        <f>C147*D147</f>
        <v>0.15225</v>
      </c>
      <c r="J147" s="3">
        <f t="shared" si="11"/>
        <v>6.0899999999999995E-4</v>
      </c>
      <c r="K147" s="21"/>
      <c r="M147" s="245"/>
      <c r="N147" s="24"/>
      <c r="O147" s="246"/>
    </row>
    <row r="148" spans="1:15" x14ac:dyDescent="0.25">
      <c r="A148" s="20" t="s">
        <v>19</v>
      </c>
      <c r="B148" s="2"/>
      <c r="C148" s="57">
        <f>1.097+0.16+3.016+1.272</f>
        <v>5.5449999999999999</v>
      </c>
      <c r="D148" s="65">
        <f>2.979-0.08</f>
        <v>2.899</v>
      </c>
      <c r="E148" s="65">
        <v>4.0000000000000001E-3</v>
      </c>
      <c r="F148" s="3"/>
      <c r="G148" s="23"/>
      <c r="H148" s="3"/>
      <c r="I148" s="3">
        <f>C148*D148</f>
        <v>16.074954999999999</v>
      </c>
      <c r="J148" s="3">
        <f t="shared" si="11"/>
        <v>6.4299819999999994E-2</v>
      </c>
      <c r="K148" s="21"/>
      <c r="M148" s="245"/>
      <c r="N148" s="24"/>
      <c r="O148" s="246"/>
    </row>
    <row r="149" spans="1:15" x14ac:dyDescent="0.25">
      <c r="A149" s="384" t="s">
        <v>233</v>
      </c>
      <c r="B149" s="385"/>
      <c r="C149" s="386"/>
      <c r="D149" s="387"/>
      <c r="E149" s="387"/>
      <c r="F149" s="388"/>
      <c r="G149" s="389"/>
      <c r="H149" s="388"/>
      <c r="I149" s="388"/>
      <c r="J149" s="388"/>
      <c r="K149" s="390" t="s">
        <v>236</v>
      </c>
      <c r="M149" s="245"/>
      <c r="N149" s="24"/>
      <c r="O149" s="246"/>
    </row>
    <row r="150" spans="1:15" x14ac:dyDescent="0.25">
      <c r="A150" s="28" t="s">
        <v>232</v>
      </c>
      <c r="B150" s="29"/>
      <c r="C150" s="25">
        <v>3.016</v>
      </c>
      <c r="D150" s="383">
        <f>1.83-0.08</f>
        <v>1.75</v>
      </c>
      <c r="E150" s="383">
        <v>4.0000000000000001E-3</v>
      </c>
      <c r="F150" s="25"/>
      <c r="G150" s="26">
        <v>1</v>
      </c>
      <c r="H150" s="130"/>
      <c r="I150" s="27">
        <f>-C150*D150*G150</f>
        <v>-5.2780000000000005</v>
      </c>
      <c r="J150" s="27">
        <f>I150*E150</f>
        <v>-2.1112000000000002E-2</v>
      </c>
      <c r="K150" s="30"/>
      <c r="M150" s="245"/>
      <c r="N150" s="24" t="s">
        <v>41</v>
      </c>
      <c r="O150" s="246"/>
    </row>
    <row r="151" spans="1:15" x14ac:dyDescent="0.25">
      <c r="A151" s="20" t="s">
        <v>235</v>
      </c>
      <c r="B151" s="2"/>
      <c r="C151" s="57">
        <v>0.87</v>
      </c>
      <c r="D151" s="65">
        <v>0.17499999999999999</v>
      </c>
      <c r="E151" s="65">
        <v>4.0000000000000001E-3</v>
      </c>
      <c r="F151" s="3"/>
      <c r="G151" s="23"/>
      <c r="H151" s="3"/>
      <c r="I151" s="3">
        <f>C151*D151</f>
        <v>0.15225</v>
      </c>
      <c r="J151" s="3">
        <f>I151*E151</f>
        <v>6.0899999999999995E-4</v>
      </c>
      <c r="K151" s="21"/>
      <c r="M151" s="245"/>
      <c r="N151" s="24"/>
      <c r="O151" s="246"/>
    </row>
    <row r="152" spans="1:15" x14ac:dyDescent="0.25">
      <c r="A152" s="379"/>
      <c r="B152" s="2"/>
      <c r="C152" s="57"/>
      <c r="D152" s="57"/>
      <c r="E152" s="65"/>
      <c r="F152" s="3"/>
      <c r="G152" s="23"/>
      <c r="H152" s="3"/>
      <c r="I152" s="3"/>
      <c r="J152" s="3"/>
      <c r="K152" s="21"/>
      <c r="M152" s="245"/>
      <c r="N152" s="24"/>
      <c r="O152" s="246"/>
    </row>
    <row r="153" spans="1:15" x14ac:dyDescent="0.25">
      <c r="A153" s="379" t="s">
        <v>193</v>
      </c>
      <c r="B153" s="2"/>
      <c r="C153" s="57"/>
      <c r="D153" s="57"/>
      <c r="E153" s="65"/>
      <c r="F153" s="3"/>
      <c r="G153" s="23"/>
      <c r="H153" s="3"/>
      <c r="I153" s="3"/>
      <c r="J153" s="3"/>
      <c r="K153" s="21"/>
      <c r="M153" s="245"/>
      <c r="N153" s="24" t="s">
        <v>41</v>
      </c>
      <c r="O153" s="246"/>
    </row>
    <row r="154" spans="1:15" x14ac:dyDescent="0.25">
      <c r="A154" s="20" t="s">
        <v>31</v>
      </c>
      <c r="B154" s="2"/>
      <c r="C154" s="57">
        <f>0.891+1.104</f>
        <v>1.9950000000000001</v>
      </c>
      <c r="D154" s="65">
        <f>2.799+0.1</f>
        <v>2.899</v>
      </c>
      <c r="E154" s="65">
        <v>4.0000000000000001E-3</v>
      </c>
      <c r="F154" s="3"/>
      <c r="G154" s="23"/>
      <c r="H154" s="3"/>
      <c r="I154" s="3">
        <f>C154*D154</f>
        <v>5.7835050000000008</v>
      </c>
      <c r="J154" s="3">
        <f t="shared" ref="J154:J159" si="12">I154*E154</f>
        <v>2.3134020000000005E-2</v>
      </c>
      <c r="K154" s="21"/>
      <c r="M154" s="245"/>
      <c r="N154" s="24"/>
      <c r="O154" s="246"/>
    </row>
    <row r="155" spans="1:15" x14ac:dyDescent="0.25">
      <c r="A155" s="28" t="s">
        <v>200</v>
      </c>
      <c r="B155" s="29"/>
      <c r="C155" s="25">
        <v>0.94</v>
      </c>
      <c r="D155" s="383">
        <f>2.14-0.08</f>
        <v>2.06</v>
      </c>
      <c r="E155" s="383">
        <v>4.0000000000000001E-3</v>
      </c>
      <c r="F155" s="25"/>
      <c r="G155" s="26">
        <v>1</v>
      </c>
      <c r="H155" s="130"/>
      <c r="I155" s="27">
        <f>-C155*D155*G155</f>
        <v>-1.9363999999999999</v>
      </c>
      <c r="J155" s="27">
        <f t="shared" si="12"/>
        <v>-7.7456000000000001E-3</v>
      </c>
      <c r="K155" s="30"/>
      <c r="M155" s="245"/>
      <c r="N155" s="24" t="s">
        <v>41</v>
      </c>
      <c r="O155" s="246"/>
    </row>
    <row r="156" spans="1:15" x14ac:dyDescent="0.25">
      <c r="A156" s="20" t="s">
        <v>28</v>
      </c>
      <c r="B156" s="2"/>
      <c r="C156" s="57">
        <f>0.891+1.104</f>
        <v>1.9950000000000001</v>
      </c>
      <c r="D156" s="65">
        <v>2.2000000000000002</v>
      </c>
      <c r="E156" s="65">
        <v>4.0000000000000001E-3</v>
      </c>
      <c r="F156" s="3"/>
      <c r="G156" s="23"/>
      <c r="H156" s="3"/>
      <c r="I156" s="3">
        <f>C156*D156</f>
        <v>4.3890000000000002</v>
      </c>
      <c r="J156" s="3">
        <f t="shared" si="12"/>
        <v>1.7556000000000002E-2</v>
      </c>
      <c r="K156" s="21"/>
      <c r="M156" s="245"/>
      <c r="N156" s="24"/>
      <c r="O156" s="246"/>
    </row>
    <row r="157" spans="1:15" x14ac:dyDescent="0.25">
      <c r="A157" s="20" t="s">
        <v>203</v>
      </c>
      <c r="B157" s="2"/>
      <c r="C157" s="57">
        <f>0.891+1.104</f>
        <v>1.9950000000000001</v>
      </c>
      <c r="D157" s="65">
        <v>0.17499999999999999</v>
      </c>
      <c r="E157" s="65">
        <v>4.0000000000000001E-3</v>
      </c>
      <c r="F157" s="3"/>
      <c r="G157" s="23"/>
      <c r="H157" s="3"/>
      <c r="I157" s="3">
        <f>C157*D157</f>
        <v>0.34912500000000002</v>
      </c>
      <c r="J157" s="3">
        <f t="shared" si="12"/>
        <v>1.3965000000000002E-3</v>
      </c>
      <c r="K157" s="21"/>
      <c r="M157" s="245"/>
      <c r="N157" s="24"/>
      <c r="O157" s="246"/>
    </row>
    <row r="158" spans="1:15" x14ac:dyDescent="0.25">
      <c r="A158" s="20" t="s">
        <v>18</v>
      </c>
      <c r="B158" s="2"/>
      <c r="C158" s="57">
        <f>1.097+0.16+3.016+1.272</f>
        <v>5.5449999999999999</v>
      </c>
      <c r="D158" s="65">
        <f>2.799+0.1</f>
        <v>2.899</v>
      </c>
      <c r="E158" s="65">
        <v>4.0000000000000001E-3</v>
      </c>
      <c r="F158" s="3"/>
      <c r="G158" s="23"/>
      <c r="H158" s="3"/>
      <c r="I158" s="3">
        <f>C158*D158</f>
        <v>16.074954999999999</v>
      </c>
      <c r="J158" s="3">
        <f t="shared" si="12"/>
        <v>6.4299819999999994E-2</v>
      </c>
      <c r="K158" s="21"/>
      <c r="M158" s="245"/>
      <c r="N158" s="24"/>
      <c r="O158" s="246"/>
    </row>
    <row r="159" spans="1:15" x14ac:dyDescent="0.25">
      <c r="A159" s="28" t="s">
        <v>232</v>
      </c>
      <c r="B159" s="29"/>
      <c r="C159" s="25">
        <v>2.9994999999999998</v>
      </c>
      <c r="D159" s="383">
        <f>1.89-0.08</f>
        <v>1.8099999999999998</v>
      </c>
      <c r="E159" s="383">
        <v>4.0000000000000001E-3</v>
      </c>
      <c r="F159" s="25"/>
      <c r="G159" s="26">
        <v>1</v>
      </c>
      <c r="H159" s="130"/>
      <c r="I159" s="27">
        <f>-C159*D159*G159</f>
        <v>-5.4290949999999993</v>
      </c>
      <c r="J159" s="27">
        <f t="shared" si="12"/>
        <v>-2.1716379999999997E-2</v>
      </c>
      <c r="K159" s="30"/>
      <c r="M159" s="245"/>
      <c r="N159" s="24" t="s">
        <v>41</v>
      </c>
      <c r="O159" s="246"/>
    </row>
    <row r="160" spans="1:15" x14ac:dyDescent="0.25">
      <c r="A160" s="384" t="s">
        <v>233</v>
      </c>
      <c r="B160" s="385"/>
      <c r="C160" s="386"/>
      <c r="D160" s="387"/>
      <c r="E160" s="387"/>
      <c r="F160" s="388"/>
      <c r="G160" s="389"/>
      <c r="H160" s="388"/>
      <c r="I160" s="388"/>
      <c r="J160" s="388"/>
      <c r="K160" s="390" t="s">
        <v>236</v>
      </c>
      <c r="M160" s="245"/>
      <c r="N160" s="24"/>
      <c r="O160" s="246"/>
    </row>
    <row r="161" spans="1:15" x14ac:dyDescent="0.25">
      <c r="A161" s="20" t="s">
        <v>235</v>
      </c>
      <c r="B161" s="2"/>
      <c r="C161" s="57">
        <v>0.87</v>
      </c>
      <c r="D161" s="65">
        <v>0.17499999999999999</v>
      </c>
      <c r="E161" s="65">
        <v>4.0000000000000001E-3</v>
      </c>
      <c r="F161" s="3"/>
      <c r="G161" s="23"/>
      <c r="H161" s="3"/>
      <c r="I161" s="3">
        <f>C161*D161</f>
        <v>0.15225</v>
      </c>
      <c r="J161" s="3">
        <f>I161*E161</f>
        <v>6.0899999999999995E-4</v>
      </c>
      <c r="K161" s="21"/>
      <c r="M161" s="245"/>
      <c r="N161" s="24"/>
      <c r="O161" s="246"/>
    </row>
    <row r="162" spans="1:15" x14ac:dyDescent="0.25">
      <c r="A162" s="20" t="s">
        <v>19</v>
      </c>
      <c r="B162" s="2"/>
      <c r="C162" s="57">
        <f>1.097+0.16+3.016+1.272</f>
        <v>5.5449999999999999</v>
      </c>
      <c r="D162" s="65">
        <f>2.799+0.1</f>
        <v>2.899</v>
      </c>
      <c r="E162" s="65">
        <v>4.0000000000000001E-3</v>
      </c>
      <c r="F162" s="3"/>
      <c r="G162" s="23"/>
      <c r="H162" s="3"/>
      <c r="I162" s="3">
        <f>C162*D162</f>
        <v>16.074954999999999</v>
      </c>
      <c r="J162" s="3">
        <f>I162*E162</f>
        <v>6.4299819999999994E-2</v>
      </c>
      <c r="K162" s="21"/>
      <c r="M162" s="245"/>
      <c r="N162" s="24"/>
      <c r="O162" s="246"/>
    </row>
    <row r="163" spans="1:15" x14ac:dyDescent="0.25">
      <c r="A163" s="28" t="s">
        <v>232</v>
      </c>
      <c r="B163" s="29"/>
      <c r="C163" s="25">
        <v>4.2605000000000004</v>
      </c>
      <c r="D163" s="383">
        <f>1.89-0.08</f>
        <v>1.8099999999999998</v>
      </c>
      <c r="E163" s="383">
        <v>4.0000000000000001E-3</v>
      </c>
      <c r="F163" s="25"/>
      <c r="G163" s="26">
        <v>1</v>
      </c>
      <c r="H163" s="130"/>
      <c r="I163" s="27">
        <f>-C163*D163*G163</f>
        <v>-7.7115049999999998</v>
      </c>
      <c r="J163" s="27">
        <f>I163*E163</f>
        <v>-3.0846019999999998E-2</v>
      </c>
      <c r="K163" s="30"/>
      <c r="M163" s="245"/>
      <c r="N163" s="24" t="s">
        <v>41</v>
      </c>
      <c r="O163" s="246"/>
    </row>
    <row r="164" spans="1:15" x14ac:dyDescent="0.25">
      <c r="A164" s="20" t="s">
        <v>235</v>
      </c>
      <c r="B164" s="2"/>
      <c r="C164" s="57">
        <v>0.87</v>
      </c>
      <c r="D164" s="65">
        <v>0.17499999999999999</v>
      </c>
      <c r="E164" s="65">
        <v>4.0000000000000001E-3</v>
      </c>
      <c r="F164" s="3"/>
      <c r="G164" s="23"/>
      <c r="H164" s="3"/>
      <c r="I164" s="3">
        <f>C164*D164</f>
        <v>0.15225</v>
      </c>
      <c r="J164" s="3">
        <f>I164*E164</f>
        <v>6.0899999999999995E-4</v>
      </c>
      <c r="K164" s="21"/>
      <c r="M164" s="245"/>
      <c r="N164" s="24"/>
      <c r="O164" s="246"/>
    </row>
    <row r="165" spans="1:15" x14ac:dyDescent="0.25">
      <c r="A165" s="266" t="s">
        <v>32</v>
      </c>
      <c r="B165" s="11" t="s">
        <v>37</v>
      </c>
      <c r="C165" s="12"/>
      <c r="D165" s="12"/>
      <c r="E165" s="12"/>
      <c r="F165" s="12"/>
      <c r="G165" s="14"/>
      <c r="H165" s="15"/>
      <c r="I165" s="16">
        <f>SUM(I166:I180)</f>
        <v>56.472571000000009</v>
      </c>
      <c r="J165" s="17">
        <f>SUM(J166:J180)</f>
        <v>2.8236285499999996</v>
      </c>
      <c r="K165" s="1" t="s">
        <v>91</v>
      </c>
      <c r="M165" s="256">
        <v>57.71</v>
      </c>
      <c r="N165" s="13">
        <f>M165-I165</f>
        <v>1.2374289999999917</v>
      </c>
      <c r="O165" s="248">
        <f>N165/M165</f>
        <v>2.1442193727256829E-2</v>
      </c>
    </row>
    <row r="166" spans="1:15" x14ac:dyDescent="0.25">
      <c r="A166" s="379" t="s">
        <v>192</v>
      </c>
      <c r="B166" s="2"/>
      <c r="C166" s="3">
        <f>1.265+3.021+0.16+1.097</f>
        <v>5.5429999999999993</v>
      </c>
      <c r="D166" s="3">
        <v>2.9670000000000001</v>
      </c>
      <c r="E166" s="3">
        <v>0.05</v>
      </c>
      <c r="F166" s="3"/>
      <c r="G166" s="22"/>
      <c r="H166" s="5"/>
      <c r="I166" s="3">
        <f>(C166+0.04)*(D166+0.04)</f>
        <v>16.788080999999998</v>
      </c>
      <c r="J166" s="3">
        <f>I166*E166</f>
        <v>0.83940404999999996</v>
      </c>
      <c r="K166" s="21"/>
      <c r="M166" s="245"/>
      <c r="N166" s="24" t="s">
        <v>41</v>
      </c>
      <c r="O166" s="246"/>
    </row>
    <row r="167" spans="1:15" x14ac:dyDescent="0.25">
      <c r="A167" s="28" t="s">
        <v>199</v>
      </c>
      <c r="B167" s="29"/>
      <c r="C167" s="25">
        <v>1.7090000000000001</v>
      </c>
      <c r="D167" s="25">
        <v>0.16</v>
      </c>
      <c r="E167" s="25">
        <v>0.05</v>
      </c>
      <c r="F167" s="25"/>
      <c r="G167" s="26">
        <v>1</v>
      </c>
      <c r="H167" s="130"/>
      <c r="I167" s="27">
        <f>-C167*D167*G167</f>
        <v>-0.27344000000000002</v>
      </c>
      <c r="J167" s="27">
        <f>I167*E167</f>
        <v>-1.3672000000000002E-2</v>
      </c>
      <c r="K167" s="30"/>
      <c r="M167" s="245"/>
      <c r="N167" s="24" t="s">
        <v>41</v>
      </c>
      <c r="O167" s="246"/>
    </row>
    <row r="168" spans="1:15" x14ac:dyDescent="0.25">
      <c r="A168" s="20" t="s">
        <v>229</v>
      </c>
      <c r="B168" s="2"/>
      <c r="C168" s="3">
        <v>0.93799999999999994</v>
      </c>
      <c r="D168" s="3">
        <v>0.26500000000000001</v>
      </c>
      <c r="E168" s="3">
        <v>0.05</v>
      </c>
      <c r="F168" s="3"/>
      <c r="G168" s="22"/>
      <c r="H168" s="5"/>
      <c r="I168" s="3">
        <f>(C168*D168)</f>
        <v>0.24856999999999999</v>
      </c>
      <c r="J168" s="3">
        <f>I168*E168</f>
        <v>1.24285E-2</v>
      </c>
      <c r="K168" s="21"/>
      <c r="M168" s="245"/>
      <c r="N168" s="24" t="s">
        <v>41</v>
      </c>
      <c r="O168" s="246"/>
    </row>
    <row r="169" spans="1:15" x14ac:dyDescent="0.25">
      <c r="A169" s="20"/>
      <c r="B169" s="2"/>
      <c r="C169" s="3"/>
      <c r="D169" s="3"/>
      <c r="E169" s="3"/>
      <c r="F169" s="3"/>
      <c r="G169" s="22"/>
      <c r="H169" s="5"/>
      <c r="I169" s="3"/>
      <c r="J169" s="3"/>
      <c r="K169" s="21"/>
      <c r="M169" s="245"/>
      <c r="N169" s="24"/>
      <c r="O169" s="246"/>
    </row>
    <row r="170" spans="1:15" x14ac:dyDescent="0.25">
      <c r="A170" s="379" t="s">
        <v>193</v>
      </c>
      <c r="B170" s="2"/>
      <c r="C170" s="3">
        <f>1.265+3.013+0.16+1.105</f>
        <v>5.5429999999999993</v>
      </c>
      <c r="D170" s="3">
        <v>2</v>
      </c>
      <c r="E170" s="3">
        <v>0.05</v>
      </c>
      <c r="F170" s="3"/>
      <c r="G170" s="22"/>
      <c r="H170" s="5"/>
      <c r="I170" s="3">
        <f>(C170+0.04)*(D170+0.04)</f>
        <v>11.389319999999998</v>
      </c>
      <c r="J170" s="3">
        <f>I170*E170</f>
        <v>0.56946599999999992</v>
      </c>
      <c r="K170" s="21"/>
      <c r="M170" s="245"/>
      <c r="N170" s="24" t="s">
        <v>41</v>
      </c>
      <c r="O170" s="246"/>
    </row>
    <row r="171" spans="1:15" x14ac:dyDescent="0.25">
      <c r="A171" s="28" t="s">
        <v>199</v>
      </c>
      <c r="B171" s="29"/>
      <c r="C171" s="25">
        <v>1.1180000000000001</v>
      </c>
      <c r="D171" s="25">
        <v>0.16</v>
      </c>
      <c r="E171" s="25">
        <v>0.05</v>
      </c>
      <c r="F171" s="25"/>
      <c r="G171" s="26">
        <v>1</v>
      </c>
      <c r="H171" s="130"/>
      <c r="I171" s="27">
        <f>-C171*D171*G171</f>
        <v>-0.17888000000000001</v>
      </c>
      <c r="J171" s="27">
        <f>I171*E171</f>
        <v>-8.9440000000000006E-3</v>
      </c>
      <c r="K171" s="30"/>
      <c r="M171" s="245"/>
      <c r="N171" s="24" t="s">
        <v>41</v>
      </c>
      <c r="O171" s="246"/>
    </row>
    <row r="172" spans="1:15" x14ac:dyDescent="0.25">
      <c r="A172" s="20" t="s">
        <v>229</v>
      </c>
      <c r="B172" s="2"/>
      <c r="C172" s="3">
        <v>0.93799999999999994</v>
      </c>
      <c r="D172" s="3">
        <v>0.26500000000000001</v>
      </c>
      <c r="E172" s="3">
        <v>0.05</v>
      </c>
      <c r="F172" s="3"/>
      <c r="G172" s="22"/>
      <c r="H172" s="5"/>
      <c r="I172" s="3">
        <f>(C172*D172)</f>
        <v>0.24856999999999999</v>
      </c>
      <c r="J172" s="3">
        <f>I172*E172</f>
        <v>1.24285E-2</v>
      </c>
      <c r="K172" s="21"/>
      <c r="M172" s="245"/>
      <c r="N172" s="24" t="s">
        <v>41</v>
      </c>
      <c r="O172" s="246"/>
    </row>
    <row r="173" spans="1:15" x14ac:dyDescent="0.25">
      <c r="A173" s="20"/>
      <c r="B173" s="2"/>
      <c r="C173" s="3"/>
      <c r="D173" s="3"/>
      <c r="E173" s="3"/>
      <c r="F173" s="3"/>
      <c r="G173" s="22"/>
      <c r="H173" s="5"/>
      <c r="I173" s="3"/>
      <c r="J173" s="3"/>
      <c r="K173" s="21"/>
      <c r="M173" s="245"/>
      <c r="N173" s="24"/>
      <c r="O173" s="246"/>
    </row>
    <row r="174" spans="1:15" x14ac:dyDescent="0.25">
      <c r="A174" s="379" t="s">
        <v>194</v>
      </c>
      <c r="B174" s="2"/>
      <c r="C174" s="3">
        <f>1.097+0.16+3.016+1.272</f>
        <v>5.5449999999999999</v>
      </c>
      <c r="D174" s="3">
        <f>1.715+1.26</f>
        <v>2.9750000000000001</v>
      </c>
      <c r="E174" s="3">
        <v>0.05</v>
      </c>
      <c r="F174" s="3"/>
      <c r="G174" s="22"/>
      <c r="H174" s="5"/>
      <c r="I174" s="3">
        <f>(C174+0.04)*(D174+0.04)</f>
        <v>16.838775000000002</v>
      </c>
      <c r="J174" s="3">
        <f>I174*E174</f>
        <v>0.84193875000000018</v>
      </c>
      <c r="K174" s="21"/>
      <c r="M174" s="245"/>
      <c r="N174" s="24" t="s">
        <v>41</v>
      </c>
      <c r="O174" s="246"/>
    </row>
    <row r="175" spans="1:15" x14ac:dyDescent="0.25">
      <c r="A175" s="28" t="s">
        <v>199</v>
      </c>
      <c r="B175" s="29"/>
      <c r="C175" s="25">
        <v>1.7150000000000001</v>
      </c>
      <c r="D175" s="25">
        <v>0.16</v>
      </c>
      <c r="E175" s="25">
        <v>0.05</v>
      </c>
      <c r="F175" s="25"/>
      <c r="G175" s="26">
        <v>1</v>
      </c>
      <c r="H175" s="130"/>
      <c r="I175" s="27">
        <f>-C175*D175*G175</f>
        <v>-0.27440000000000003</v>
      </c>
      <c r="J175" s="27">
        <f>I175*E175</f>
        <v>-1.3720000000000003E-2</v>
      </c>
      <c r="K175" s="30"/>
      <c r="M175" s="245"/>
      <c r="N175" s="24" t="s">
        <v>41</v>
      </c>
      <c r="O175" s="246"/>
    </row>
    <row r="176" spans="1:15" x14ac:dyDescent="0.25">
      <c r="A176" s="20" t="s">
        <v>229</v>
      </c>
      <c r="B176" s="2"/>
      <c r="C176" s="3">
        <v>0.93799999999999994</v>
      </c>
      <c r="D176" s="3">
        <v>0.26500000000000001</v>
      </c>
      <c r="E176" s="3">
        <v>0.05</v>
      </c>
      <c r="F176" s="3"/>
      <c r="G176" s="22"/>
      <c r="H176" s="5"/>
      <c r="I176" s="3">
        <f>(C176*D176)</f>
        <v>0.24856999999999999</v>
      </c>
      <c r="J176" s="3">
        <f>I176*E176</f>
        <v>1.24285E-2</v>
      </c>
      <c r="K176" s="21"/>
      <c r="M176" s="245"/>
      <c r="N176" s="24" t="s">
        <v>41</v>
      </c>
      <c r="O176" s="246"/>
    </row>
    <row r="177" spans="1:15" x14ac:dyDescent="0.25">
      <c r="A177" s="20"/>
      <c r="B177" s="2"/>
      <c r="C177" s="3"/>
      <c r="D177" s="3"/>
      <c r="E177" s="3"/>
      <c r="F177" s="3"/>
      <c r="G177" s="22"/>
      <c r="H177" s="5"/>
      <c r="I177" s="3"/>
      <c r="J177" s="3"/>
      <c r="K177" s="21"/>
      <c r="M177" s="245"/>
      <c r="N177" s="24"/>
      <c r="O177" s="246"/>
    </row>
    <row r="178" spans="1:15" x14ac:dyDescent="0.25">
      <c r="A178" s="379" t="s">
        <v>195</v>
      </c>
      <c r="B178" s="2"/>
      <c r="C178" s="3">
        <f>1.116+0.16+1.218+0.482+0.482+0.815+1.272</f>
        <v>5.5449999999999999</v>
      </c>
      <c r="D178" s="3">
        <f>0.891+1.104</f>
        <v>1.9950000000000001</v>
      </c>
      <c r="E178" s="3">
        <v>0.05</v>
      </c>
      <c r="F178" s="3"/>
      <c r="G178" s="22"/>
      <c r="H178" s="5"/>
      <c r="I178" s="3">
        <f>(C178+0.04)*(D178+0.04)</f>
        <v>11.365475</v>
      </c>
      <c r="J178" s="3">
        <f>I178*E178</f>
        <v>0.56827375000000002</v>
      </c>
      <c r="K178" s="21"/>
      <c r="M178" s="245"/>
      <c r="N178" s="24" t="s">
        <v>41</v>
      </c>
      <c r="O178" s="246"/>
    </row>
    <row r="179" spans="1:15" x14ac:dyDescent="0.25">
      <c r="A179" s="28" t="s">
        <v>199</v>
      </c>
      <c r="B179" s="29"/>
      <c r="C179" s="25">
        <v>1.1040000000000001</v>
      </c>
      <c r="D179" s="25">
        <v>0.16</v>
      </c>
      <c r="E179" s="25">
        <v>0.05</v>
      </c>
      <c r="F179" s="25"/>
      <c r="G179" s="26">
        <v>1</v>
      </c>
      <c r="H179" s="130"/>
      <c r="I179" s="27">
        <f>-C179*D179*G179</f>
        <v>-0.17664000000000002</v>
      </c>
      <c r="J179" s="27">
        <f>I179*E179</f>
        <v>-8.8320000000000013E-3</v>
      </c>
      <c r="K179" s="30"/>
      <c r="M179" s="245"/>
      <c r="N179" s="24" t="s">
        <v>41</v>
      </c>
      <c r="O179" s="246"/>
    </row>
    <row r="180" spans="1:15" x14ac:dyDescent="0.25">
      <c r="A180" s="20" t="s">
        <v>229</v>
      </c>
      <c r="B180" s="2"/>
      <c r="C180" s="3">
        <v>0.93799999999999994</v>
      </c>
      <c r="D180" s="3">
        <v>0.26500000000000001</v>
      </c>
      <c r="E180" s="3">
        <v>0.05</v>
      </c>
      <c r="F180" s="3"/>
      <c r="G180" s="22"/>
      <c r="H180" s="5"/>
      <c r="I180" s="3">
        <f>(C180*D180)</f>
        <v>0.24856999999999999</v>
      </c>
      <c r="J180" s="3">
        <f>I180*E180</f>
        <v>1.24285E-2</v>
      </c>
      <c r="K180" s="21"/>
      <c r="M180" s="245"/>
      <c r="N180" s="24" t="s">
        <v>41</v>
      </c>
      <c r="O180" s="246"/>
    </row>
    <row r="181" spans="1:15" x14ac:dyDescent="0.25">
      <c r="A181" s="128" t="s">
        <v>34</v>
      </c>
      <c r="B181" s="31" t="s">
        <v>43</v>
      </c>
      <c r="C181" s="32"/>
      <c r="D181" s="391"/>
      <c r="E181" s="392" t="s">
        <v>237</v>
      </c>
      <c r="F181" s="391">
        <v>0.3</v>
      </c>
      <c r="G181" s="33"/>
      <c r="H181" s="34"/>
      <c r="I181" s="32"/>
      <c r="J181" s="35">
        <f>SUM(J3,J8,J11,J17,J22,J24,J33,J50,J53,J111,J165)*(1+F181)</f>
        <v>13.268363812600001</v>
      </c>
      <c r="K181" s="36" t="s">
        <v>35</v>
      </c>
      <c r="M181" s="256"/>
      <c r="N181" s="13"/>
      <c r="O181" s="248"/>
    </row>
    <row r="182" spans="1:15" ht="15.75" thickBot="1" x14ac:dyDescent="0.3">
      <c r="A182" s="37" t="s">
        <v>36</v>
      </c>
      <c r="B182" s="38" t="s">
        <v>47</v>
      </c>
      <c r="C182" s="39"/>
      <c r="D182" s="39"/>
      <c r="E182" s="393" t="s">
        <v>238</v>
      </c>
      <c r="F182" s="39">
        <v>14.1</v>
      </c>
      <c r="G182" s="40"/>
      <c r="H182" s="41"/>
      <c r="I182" s="41"/>
      <c r="J182" s="42">
        <f>J181*F182</f>
        <v>187.08392975766</v>
      </c>
      <c r="K182" s="43"/>
      <c r="M182" s="263"/>
      <c r="N182" s="264"/>
      <c r="O182" s="253"/>
    </row>
    <row r="183" spans="1:15" ht="15.75" thickBot="1" x14ac:dyDescent="0.3"/>
    <row r="184" spans="1:15" ht="15.75" thickBot="1" x14ac:dyDescent="0.3">
      <c r="A184" s="372" t="s">
        <v>48</v>
      </c>
      <c r="B184" s="346"/>
      <c r="C184" s="347" t="s">
        <v>2</v>
      </c>
      <c r="D184" s="347" t="s">
        <v>3</v>
      </c>
      <c r="E184" s="347" t="s">
        <v>4</v>
      </c>
      <c r="F184" s="347" t="s">
        <v>5</v>
      </c>
      <c r="G184" s="348" t="s">
        <v>1</v>
      </c>
      <c r="H184" s="347" t="s">
        <v>6</v>
      </c>
      <c r="I184" s="347" t="s">
        <v>7</v>
      </c>
      <c r="J184" s="347" t="s">
        <v>8</v>
      </c>
      <c r="K184" s="349" t="s">
        <v>9</v>
      </c>
    </row>
    <row r="185" spans="1:15" x14ac:dyDescent="0.25">
      <c r="A185" s="105" t="s">
        <v>211</v>
      </c>
      <c r="B185" s="269" t="s">
        <v>37</v>
      </c>
      <c r="C185" s="84"/>
      <c r="D185" s="84"/>
      <c r="E185" s="84"/>
      <c r="F185" s="84"/>
      <c r="G185" s="85"/>
      <c r="H185" s="84"/>
      <c r="I185" s="86">
        <f>SUM(I186:I187)</f>
        <v>4.95</v>
      </c>
      <c r="J185" s="87"/>
      <c r="K185" s="88"/>
      <c r="M185" s="254">
        <v>4.95</v>
      </c>
      <c r="N185" s="373">
        <f>M185-I185</f>
        <v>0</v>
      </c>
      <c r="O185" s="374">
        <f>N185/M185</f>
        <v>0</v>
      </c>
    </row>
    <row r="186" spans="1:15" x14ac:dyDescent="0.25">
      <c r="A186" s="55" t="s">
        <v>199</v>
      </c>
      <c r="B186" s="56"/>
      <c r="C186" s="57">
        <v>1.7649999999999999</v>
      </c>
      <c r="D186" s="57"/>
      <c r="E186" s="57"/>
      <c r="F186" s="57">
        <v>1.8</v>
      </c>
      <c r="G186" s="58"/>
      <c r="H186" s="57"/>
      <c r="I186" s="57">
        <f>(C186*F186)</f>
        <v>3.177</v>
      </c>
      <c r="J186" s="65"/>
      <c r="K186" s="59" t="s">
        <v>194</v>
      </c>
      <c r="M186" s="245"/>
      <c r="N186" s="24" t="s">
        <v>41</v>
      </c>
      <c r="O186" s="246"/>
    </row>
    <row r="187" spans="1:15" ht="15.75" thickBot="1" x14ac:dyDescent="0.3">
      <c r="A187" s="75" t="s">
        <v>199</v>
      </c>
      <c r="B187" s="76"/>
      <c r="C187" s="77">
        <v>0.98499999999999999</v>
      </c>
      <c r="D187" s="77"/>
      <c r="E187" s="77"/>
      <c r="F187" s="77">
        <v>1.8</v>
      </c>
      <c r="G187" s="103"/>
      <c r="H187" s="77"/>
      <c r="I187" s="77">
        <f>(C187*F187)</f>
        <v>1.7729999999999999</v>
      </c>
      <c r="J187" s="80"/>
      <c r="K187" s="81" t="s">
        <v>195</v>
      </c>
      <c r="M187" s="249"/>
      <c r="N187" s="250"/>
      <c r="O187" s="251"/>
    </row>
    <row r="188" spans="1:15" ht="15.75" thickBot="1" x14ac:dyDescent="0.3"/>
    <row r="189" spans="1:15" ht="15.75" thickBot="1" x14ac:dyDescent="0.3">
      <c r="A189" s="46" t="s">
        <v>55</v>
      </c>
      <c r="B189" s="47"/>
      <c r="C189" s="48" t="s">
        <v>2</v>
      </c>
      <c r="D189" s="48" t="s">
        <v>3</v>
      </c>
      <c r="E189" s="48" t="s">
        <v>4</v>
      </c>
      <c r="F189" s="48" t="s">
        <v>5</v>
      </c>
      <c r="G189" s="49" t="s">
        <v>1</v>
      </c>
      <c r="H189" s="48" t="s">
        <v>6</v>
      </c>
      <c r="I189" s="48" t="s">
        <v>7</v>
      </c>
      <c r="J189" s="48" t="s">
        <v>8</v>
      </c>
      <c r="K189" s="50" t="s">
        <v>9</v>
      </c>
    </row>
    <row r="190" spans="1:15" x14ac:dyDescent="0.25">
      <c r="A190" s="82" t="s">
        <v>50</v>
      </c>
      <c r="B190" s="83" t="s">
        <v>37</v>
      </c>
      <c r="C190" s="84"/>
      <c r="D190" s="84"/>
      <c r="E190" s="84"/>
      <c r="F190" s="84"/>
      <c r="G190" s="85"/>
      <c r="H190" s="84"/>
      <c r="I190" s="86">
        <f>SUM(I191:I194)</f>
        <v>10.916</v>
      </c>
      <c r="J190" s="87"/>
      <c r="K190" s="88" t="s">
        <v>54</v>
      </c>
      <c r="M190" s="254">
        <v>10.73</v>
      </c>
      <c r="N190" s="255">
        <f>M190-I190</f>
        <v>-0.18599999999999994</v>
      </c>
      <c r="O190" s="244">
        <f>N190/M190</f>
        <v>-1.7334575955265604E-2</v>
      </c>
    </row>
    <row r="191" spans="1:15" x14ac:dyDescent="0.25">
      <c r="A191" s="55" t="s">
        <v>201</v>
      </c>
      <c r="B191" s="56"/>
      <c r="C191" s="57">
        <v>1.7649999999999999</v>
      </c>
      <c r="D191" s="57">
        <v>0.16</v>
      </c>
      <c r="E191" s="57"/>
      <c r="F191" s="57">
        <v>1.8</v>
      </c>
      <c r="G191" s="73"/>
      <c r="H191" s="57">
        <f>C191+D191+C191</f>
        <v>3.6899999999999995</v>
      </c>
      <c r="I191" s="57">
        <f>H191*F191</f>
        <v>6.6419999999999995</v>
      </c>
      <c r="J191" s="65"/>
      <c r="K191" s="59" t="s">
        <v>194</v>
      </c>
      <c r="M191" s="245"/>
      <c r="N191" s="24" t="s">
        <v>41</v>
      </c>
      <c r="O191" s="246"/>
    </row>
    <row r="192" spans="1:15" x14ac:dyDescent="0.25">
      <c r="A192" s="55" t="s">
        <v>202</v>
      </c>
      <c r="B192" s="56"/>
      <c r="C192" s="57">
        <v>1.7649999999999999</v>
      </c>
      <c r="D192" s="57">
        <v>0.16</v>
      </c>
      <c r="E192" s="57"/>
      <c r="F192" s="57"/>
      <c r="G192" s="73"/>
      <c r="H192" s="57"/>
      <c r="I192" s="57">
        <f>D192*C192</f>
        <v>0.28239999999999998</v>
      </c>
      <c r="J192" s="65"/>
      <c r="K192" s="59" t="s">
        <v>194</v>
      </c>
      <c r="M192" s="245"/>
      <c r="N192" s="24"/>
      <c r="O192" s="246"/>
    </row>
    <row r="193" spans="1:15" x14ac:dyDescent="0.25">
      <c r="A193" s="55" t="s">
        <v>201</v>
      </c>
      <c r="B193" s="56"/>
      <c r="C193" s="57">
        <v>0.98499999999999999</v>
      </c>
      <c r="D193" s="57">
        <v>0.16</v>
      </c>
      <c r="E193" s="57"/>
      <c r="F193" s="57">
        <v>1.8</v>
      </c>
      <c r="G193" s="73"/>
      <c r="H193" s="57">
        <f>C193+D193+C193</f>
        <v>2.13</v>
      </c>
      <c r="I193" s="57">
        <f>H193*F193</f>
        <v>3.8340000000000001</v>
      </c>
      <c r="J193" s="65"/>
      <c r="K193" s="59" t="s">
        <v>195</v>
      </c>
      <c r="M193" s="245"/>
      <c r="N193" s="24"/>
      <c r="O193" s="246"/>
    </row>
    <row r="194" spans="1:15" x14ac:dyDescent="0.25">
      <c r="A194" s="55" t="s">
        <v>202</v>
      </c>
      <c r="B194" s="56"/>
      <c r="C194" s="57">
        <v>0.98499999999999999</v>
      </c>
      <c r="D194" s="57">
        <v>0.16</v>
      </c>
      <c r="E194" s="57"/>
      <c r="F194" s="57"/>
      <c r="G194" s="73"/>
      <c r="H194" s="57"/>
      <c r="I194" s="57">
        <f>D194*C194</f>
        <v>0.15759999999999999</v>
      </c>
      <c r="J194" s="65"/>
      <c r="K194" s="59" t="s">
        <v>195</v>
      </c>
      <c r="M194" s="245"/>
      <c r="N194" s="24"/>
      <c r="O194" s="246"/>
    </row>
    <row r="195" spans="1:15" ht="45" x14ac:dyDescent="0.25">
      <c r="A195" s="91" t="s">
        <v>51</v>
      </c>
      <c r="B195" s="92" t="s">
        <v>37</v>
      </c>
      <c r="C195" s="52"/>
      <c r="D195" s="52"/>
      <c r="E195" s="52"/>
      <c r="F195" s="52"/>
      <c r="G195" s="53"/>
      <c r="H195" s="52"/>
      <c r="I195" s="100">
        <f>SUM(I196:I235)</f>
        <v>202.96678800000001</v>
      </c>
      <c r="J195" s="64"/>
      <c r="K195" s="1" t="s">
        <v>52</v>
      </c>
      <c r="M195" s="256">
        <f>196.19+10.2</f>
        <v>206.39</v>
      </c>
      <c r="N195" s="13">
        <f>M195-I195</f>
        <v>3.4232119999999782</v>
      </c>
      <c r="O195" s="248">
        <f>N195/M195</f>
        <v>1.6586133049081731E-2</v>
      </c>
    </row>
    <row r="196" spans="1:15" x14ac:dyDescent="0.25">
      <c r="A196" s="89" t="s">
        <v>192</v>
      </c>
      <c r="B196" s="66"/>
      <c r="C196" s="67"/>
      <c r="D196" s="67"/>
      <c r="E196" s="67"/>
      <c r="F196" s="67"/>
      <c r="G196" s="58"/>
      <c r="H196" s="67"/>
      <c r="I196" s="57"/>
      <c r="J196" s="65"/>
      <c r="K196" s="59"/>
      <c r="M196" s="245"/>
      <c r="N196" s="24" t="s">
        <v>41</v>
      </c>
      <c r="O196" s="246"/>
    </row>
    <row r="197" spans="1:15" x14ac:dyDescent="0.25">
      <c r="A197" s="90" t="s">
        <v>31</v>
      </c>
      <c r="B197" s="56"/>
      <c r="C197" s="57">
        <v>2.9649999999999999</v>
      </c>
      <c r="D197" s="57">
        <v>2.9990000000000001</v>
      </c>
      <c r="E197" s="57"/>
      <c r="F197" s="57"/>
      <c r="G197" s="58"/>
      <c r="H197" s="57"/>
      <c r="I197" s="57">
        <f>C197*D197</f>
        <v>8.8920349999999999</v>
      </c>
      <c r="J197" s="65"/>
      <c r="K197" s="59"/>
      <c r="M197" s="245"/>
      <c r="N197" s="24" t="s">
        <v>41</v>
      </c>
      <c r="O197" s="246"/>
    </row>
    <row r="198" spans="1:15" x14ac:dyDescent="0.25">
      <c r="A198" s="70" t="s">
        <v>200</v>
      </c>
      <c r="B198" s="71"/>
      <c r="C198" s="60">
        <v>0.94</v>
      </c>
      <c r="D198" s="60">
        <v>2.14</v>
      </c>
      <c r="E198" s="61"/>
      <c r="F198" s="61"/>
      <c r="G198" s="72">
        <v>1</v>
      </c>
      <c r="H198" s="61"/>
      <c r="I198" s="62">
        <f>C198*D198*G198*-1</f>
        <v>-2.0116000000000001</v>
      </c>
      <c r="J198" s="61"/>
      <c r="K198" s="63"/>
      <c r="M198" s="245"/>
      <c r="N198" s="24" t="s">
        <v>41</v>
      </c>
      <c r="O198" s="246"/>
    </row>
    <row r="199" spans="1:15" x14ac:dyDescent="0.25">
      <c r="A199" s="90" t="s">
        <v>28</v>
      </c>
      <c r="B199" s="56"/>
      <c r="C199" s="57">
        <v>2.9649999999999999</v>
      </c>
      <c r="D199" s="57">
        <v>2.335</v>
      </c>
      <c r="E199" s="57"/>
      <c r="F199" s="57"/>
      <c r="G199" s="58"/>
      <c r="H199" s="57"/>
      <c r="I199" s="57">
        <f>C199*D199</f>
        <v>6.9232749999999994</v>
      </c>
      <c r="J199" s="65"/>
      <c r="K199" s="59"/>
      <c r="M199" s="245"/>
      <c r="N199" s="24" t="s">
        <v>41</v>
      </c>
      <c r="O199" s="246"/>
    </row>
    <row r="200" spans="1:15" x14ac:dyDescent="0.25">
      <c r="A200" s="90" t="s">
        <v>203</v>
      </c>
      <c r="B200" s="56"/>
      <c r="C200" s="57">
        <v>2.9649999999999999</v>
      </c>
      <c r="D200" s="57">
        <v>0.18</v>
      </c>
      <c r="E200" s="57"/>
      <c r="F200" s="57"/>
      <c r="G200" s="58"/>
      <c r="H200" s="57"/>
      <c r="I200" s="57">
        <f>C200*D200</f>
        <v>0.53369999999999995</v>
      </c>
      <c r="J200" s="65"/>
      <c r="K200" s="59"/>
      <c r="M200" s="245"/>
      <c r="N200" s="24" t="s">
        <v>41</v>
      </c>
      <c r="O200" s="246"/>
    </row>
    <row r="201" spans="1:15" x14ac:dyDescent="0.25">
      <c r="A201" s="90" t="s">
        <v>204</v>
      </c>
      <c r="B201" s="56"/>
      <c r="C201" s="57">
        <f>0.281+0.564</f>
        <v>0.84499999999999997</v>
      </c>
      <c r="D201" s="57">
        <v>0.18</v>
      </c>
      <c r="E201" s="57"/>
      <c r="F201" s="57"/>
      <c r="G201" s="73">
        <v>2</v>
      </c>
      <c r="H201" s="57"/>
      <c r="I201" s="57">
        <f>C201*D201*G201</f>
        <v>0.30419999999999997</v>
      </c>
      <c r="J201" s="65"/>
      <c r="K201" s="59"/>
      <c r="M201" s="245"/>
      <c r="N201" s="24" t="s">
        <v>41</v>
      </c>
      <c r="O201" s="246"/>
    </row>
    <row r="202" spans="1:15" x14ac:dyDescent="0.25">
      <c r="A202" s="90" t="s">
        <v>18</v>
      </c>
      <c r="B202" s="56"/>
      <c r="C202" s="65">
        <f>4.276+0.17+1.087</f>
        <v>5.5329999999999995</v>
      </c>
      <c r="D202" s="57">
        <v>2.9990000000000001</v>
      </c>
      <c r="E202" s="57"/>
      <c r="F202" s="57"/>
      <c r="G202" s="58"/>
      <c r="H202" s="57"/>
      <c r="I202" s="57">
        <f>C202*D202</f>
        <v>16.593467</v>
      </c>
      <c r="J202" s="65"/>
      <c r="K202" s="59"/>
      <c r="M202" s="245"/>
      <c r="N202" s="24" t="s">
        <v>41</v>
      </c>
      <c r="O202" s="246"/>
    </row>
    <row r="203" spans="1:15" x14ac:dyDescent="0.25">
      <c r="A203" s="90" t="s">
        <v>19</v>
      </c>
      <c r="B203" s="56"/>
      <c r="C203" s="65">
        <f>4.276+0.17+1.087</f>
        <v>5.5329999999999995</v>
      </c>
      <c r="D203" s="57">
        <v>2.9990000000000001</v>
      </c>
      <c r="E203" s="57"/>
      <c r="F203" s="57"/>
      <c r="G203" s="73"/>
      <c r="H203" s="57"/>
      <c r="I203" s="57">
        <f>C203*D203</f>
        <v>16.593467</v>
      </c>
      <c r="J203" s="65"/>
      <c r="K203" s="59"/>
      <c r="M203" s="245"/>
      <c r="N203" s="24" t="s">
        <v>41</v>
      </c>
      <c r="O203" s="246"/>
    </row>
    <row r="204" spans="1:15" x14ac:dyDescent="0.25">
      <c r="A204" s="90" t="s">
        <v>201</v>
      </c>
      <c r="B204" s="56"/>
      <c r="C204" s="57">
        <v>1.7090000000000001</v>
      </c>
      <c r="D204" s="57">
        <v>0.17</v>
      </c>
      <c r="E204" s="57"/>
      <c r="F204" s="57">
        <v>1.8979999999999999</v>
      </c>
      <c r="G204" s="58"/>
      <c r="H204" s="57">
        <f>C204+D204+C204</f>
        <v>3.5880000000000001</v>
      </c>
      <c r="I204" s="57">
        <f>H204*F204</f>
        <v>6.8100239999999994</v>
      </c>
      <c r="J204" s="65"/>
      <c r="K204" s="59"/>
      <c r="M204" s="245"/>
      <c r="N204" s="24" t="s">
        <v>41</v>
      </c>
      <c r="O204" s="246"/>
    </row>
    <row r="205" spans="1:15" x14ac:dyDescent="0.25">
      <c r="A205" s="90" t="s">
        <v>202</v>
      </c>
      <c r="B205" s="56"/>
      <c r="C205" s="57">
        <v>1.7090000000000001</v>
      </c>
      <c r="D205" s="57">
        <v>0.17</v>
      </c>
      <c r="E205" s="57"/>
      <c r="F205" s="57"/>
      <c r="G205" s="58"/>
      <c r="H205" s="57"/>
      <c r="I205" s="57">
        <f>C205*D205</f>
        <v>0.29053000000000001</v>
      </c>
      <c r="J205" s="65"/>
      <c r="K205" s="59"/>
      <c r="M205" s="245"/>
      <c r="N205" s="24" t="s">
        <v>41</v>
      </c>
      <c r="O205" s="246"/>
    </row>
    <row r="206" spans="1:15" x14ac:dyDescent="0.25">
      <c r="A206" s="89" t="s">
        <v>193</v>
      </c>
      <c r="B206" s="66"/>
      <c r="C206" s="67"/>
      <c r="D206" s="67"/>
      <c r="E206" s="67"/>
      <c r="F206" s="67"/>
      <c r="G206" s="58"/>
      <c r="H206" s="67"/>
      <c r="I206" s="57"/>
      <c r="J206" s="65"/>
      <c r="K206" s="59"/>
      <c r="M206" s="245"/>
      <c r="N206" s="24" t="s">
        <v>41</v>
      </c>
      <c r="O206" s="246"/>
    </row>
    <row r="207" spans="1:15" x14ac:dyDescent="0.25">
      <c r="A207" s="90" t="s">
        <v>31</v>
      </c>
      <c r="B207" s="56"/>
      <c r="C207" s="65">
        <f>1.118+0.867</f>
        <v>1.9850000000000001</v>
      </c>
      <c r="D207" s="57">
        <v>2.9990000000000001</v>
      </c>
      <c r="E207" s="57"/>
      <c r="F207" s="57"/>
      <c r="G207" s="58"/>
      <c r="H207" s="57"/>
      <c r="I207" s="57">
        <f>C207*D207</f>
        <v>5.9530150000000006</v>
      </c>
      <c r="J207" s="65"/>
      <c r="K207" s="59"/>
      <c r="M207" s="245"/>
      <c r="N207" s="24" t="s">
        <v>41</v>
      </c>
      <c r="O207" s="246"/>
    </row>
    <row r="208" spans="1:15" x14ac:dyDescent="0.25">
      <c r="A208" s="70" t="s">
        <v>200</v>
      </c>
      <c r="B208" s="71"/>
      <c r="C208" s="60">
        <v>0.94</v>
      </c>
      <c r="D208" s="60">
        <v>2.14</v>
      </c>
      <c r="E208" s="61"/>
      <c r="F208" s="61"/>
      <c r="G208" s="72">
        <v>1</v>
      </c>
      <c r="H208" s="61"/>
      <c r="I208" s="62">
        <f>C208*D208*G208*-1</f>
        <v>-2.0116000000000001</v>
      </c>
      <c r="J208" s="61"/>
      <c r="K208" s="63"/>
      <c r="M208" s="245"/>
      <c r="N208" s="24" t="s">
        <v>41</v>
      </c>
      <c r="O208" s="246"/>
    </row>
    <row r="209" spans="1:15" x14ac:dyDescent="0.25">
      <c r="A209" s="90" t="s">
        <v>28</v>
      </c>
      <c r="B209" s="56"/>
      <c r="C209" s="65">
        <f>1.118+0.867</f>
        <v>1.9850000000000001</v>
      </c>
      <c r="D209" s="57">
        <v>2.335</v>
      </c>
      <c r="E209" s="57"/>
      <c r="F209" s="57"/>
      <c r="G209" s="58"/>
      <c r="H209" s="57"/>
      <c r="I209" s="57">
        <f>C209*D209</f>
        <v>4.6349749999999998</v>
      </c>
      <c r="J209" s="65"/>
      <c r="K209" s="59"/>
      <c r="M209" s="245"/>
      <c r="N209" s="24" t="s">
        <v>41</v>
      </c>
      <c r="O209" s="246"/>
    </row>
    <row r="210" spans="1:15" x14ac:dyDescent="0.25">
      <c r="A210" s="90" t="s">
        <v>203</v>
      </c>
      <c r="B210" s="56"/>
      <c r="C210" s="57">
        <v>2.9649999999999999</v>
      </c>
      <c r="D210" s="57">
        <v>0.18</v>
      </c>
      <c r="E210" s="57"/>
      <c r="F210" s="57"/>
      <c r="G210" s="58"/>
      <c r="H210" s="57"/>
      <c r="I210" s="57">
        <f>C210*D210</f>
        <v>0.53369999999999995</v>
      </c>
      <c r="J210" s="65"/>
      <c r="K210" s="59"/>
      <c r="M210" s="245"/>
      <c r="N210" s="24" t="s">
        <v>41</v>
      </c>
      <c r="O210" s="246"/>
    </row>
    <row r="211" spans="1:15" x14ac:dyDescent="0.25">
      <c r="A211" s="90" t="s">
        <v>204</v>
      </c>
      <c r="B211" s="56"/>
      <c r="C211" s="57">
        <f>0.281+0.564</f>
        <v>0.84499999999999997</v>
      </c>
      <c r="D211" s="57">
        <v>0.18</v>
      </c>
      <c r="E211" s="57"/>
      <c r="F211" s="57"/>
      <c r="G211" s="73">
        <v>2</v>
      </c>
      <c r="H211" s="57"/>
      <c r="I211" s="57">
        <f>C211*D211*G211</f>
        <v>0.30419999999999997</v>
      </c>
      <c r="J211" s="65"/>
      <c r="K211" s="59"/>
      <c r="M211" s="245"/>
      <c r="N211" s="24" t="s">
        <v>41</v>
      </c>
      <c r="O211" s="246"/>
    </row>
    <row r="212" spans="1:15" x14ac:dyDescent="0.25">
      <c r="A212" s="90" t="s">
        <v>18</v>
      </c>
      <c r="B212" s="56"/>
      <c r="C212" s="65">
        <f>4.268+0.17+1.095</f>
        <v>5.5329999999999995</v>
      </c>
      <c r="D212" s="57">
        <v>2.9990000000000001</v>
      </c>
      <c r="E212" s="57"/>
      <c r="F212" s="57"/>
      <c r="G212" s="58"/>
      <c r="H212" s="57"/>
      <c r="I212" s="57">
        <f>C212*D212</f>
        <v>16.593467</v>
      </c>
      <c r="J212" s="65"/>
      <c r="K212" s="59"/>
      <c r="M212" s="245"/>
      <c r="N212" s="24" t="s">
        <v>41</v>
      </c>
      <c r="O212" s="246"/>
    </row>
    <row r="213" spans="1:15" x14ac:dyDescent="0.25">
      <c r="A213" s="90" t="s">
        <v>19</v>
      </c>
      <c r="B213" s="56"/>
      <c r="C213" s="65">
        <f>4.268+0.17+1.095</f>
        <v>5.5329999999999995</v>
      </c>
      <c r="D213" s="57">
        <v>2.9990000000000001</v>
      </c>
      <c r="E213" s="57"/>
      <c r="F213" s="57"/>
      <c r="G213" s="73"/>
      <c r="H213" s="57"/>
      <c r="I213" s="57">
        <f>C213*D213</f>
        <v>16.593467</v>
      </c>
      <c r="J213" s="65"/>
      <c r="K213" s="59"/>
      <c r="M213" s="245"/>
      <c r="N213" s="24" t="s">
        <v>41</v>
      </c>
      <c r="O213" s="246"/>
    </row>
    <row r="214" spans="1:15" x14ac:dyDescent="0.25">
      <c r="A214" s="90" t="s">
        <v>201</v>
      </c>
      <c r="B214" s="56"/>
      <c r="C214" s="57">
        <v>1.1180000000000001</v>
      </c>
      <c r="D214" s="57">
        <v>0.17</v>
      </c>
      <c r="E214" s="57"/>
      <c r="F214" s="57">
        <v>1.907</v>
      </c>
      <c r="G214" s="58"/>
      <c r="H214" s="57">
        <f>C214+D214+C214</f>
        <v>2.4060000000000001</v>
      </c>
      <c r="I214" s="57">
        <f>H214*F214</f>
        <v>4.5882420000000002</v>
      </c>
      <c r="J214" s="65"/>
      <c r="K214" s="59"/>
      <c r="M214" s="245"/>
      <c r="N214" s="24" t="s">
        <v>41</v>
      </c>
      <c r="O214" s="246"/>
    </row>
    <row r="215" spans="1:15" x14ac:dyDescent="0.25">
      <c r="A215" s="90" t="s">
        <v>202</v>
      </c>
      <c r="B215" s="56"/>
      <c r="C215" s="57">
        <v>1.1180000000000001</v>
      </c>
      <c r="D215" s="57">
        <v>0.17</v>
      </c>
      <c r="E215" s="57"/>
      <c r="F215" s="57"/>
      <c r="G215" s="58"/>
      <c r="H215" s="57"/>
      <c r="I215" s="57">
        <f>C215*D215</f>
        <v>0.19006000000000003</v>
      </c>
      <c r="J215" s="65"/>
      <c r="K215" s="59"/>
      <c r="M215" s="245"/>
      <c r="N215" s="24" t="s">
        <v>41</v>
      </c>
      <c r="O215" s="246"/>
    </row>
    <row r="216" spans="1:15" x14ac:dyDescent="0.25">
      <c r="A216" s="89" t="s">
        <v>194</v>
      </c>
      <c r="B216" s="66"/>
      <c r="C216" s="67"/>
      <c r="D216" s="67"/>
      <c r="E216" s="67"/>
      <c r="F216" s="67"/>
      <c r="G216" s="58"/>
      <c r="H216" s="67"/>
      <c r="I216" s="57"/>
      <c r="J216" s="65"/>
      <c r="K216" s="59"/>
      <c r="M216" s="245"/>
      <c r="N216" s="24" t="s">
        <v>41</v>
      </c>
      <c r="O216" s="246"/>
    </row>
    <row r="217" spans="1:15" x14ac:dyDescent="0.25">
      <c r="A217" s="90" t="s">
        <v>31</v>
      </c>
      <c r="B217" s="56"/>
      <c r="C217" s="65">
        <v>2.9649999999999999</v>
      </c>
      <c r="D217" s="57">
        <v>2.9990000000000001</v>
      </c>
      <c r="E217" s="57"/>
      <c r="F217" s="57"/>
      <c r="G217" s="58"/>
      <c r="H217" s="57"/>
      <c r="I217" s="57">
        <f>C217*D217</f>
        <v>8.8920349999999999</v>
      </c>
      <c r="J217" s="65"/>
      <c r="K217" s="59"/>
      <c r="M217" s="245"/>
      <c r="N217" s="24" t="s">
        <v>41</v>
      </c>
      <c r="O217" s="246"/>
    </row>
    <row r="218" spans="1:15" x14ac:dyDescent="0.25">
      <c r="A218" s="70" t="s">
        <v>200</v>
      </c>
      <c r="B218" s="71"/>
      <c r="C218" s="60">
        <v>0.94</v>
      </c>
      <c r="D218" s="60">
        <v>2.14</v>
      </c>
      <c r="E218" s="61"/>
      <c r="F218" s="61"/>
      <c r="G218" s="72">
        <v>1</v>
      </c>
      <c r="H218" s="61"/>
      <c r="I218" s="62">
        <f>C218*D218*G218*-1</f>
        <v>-2.0116000000000001</v>
      </c>
      <c r="J218" s="61"/>
      <c r="K218" s="63"/>
      <c r="M218" s="245"/>
      <c r="N218" s="24" t="s">
        <v>41</v>
      </c>
      <c r="O218" s="246"/>
    </row>
    <row r="219" spans="1:15" x14ac:dyDescent="0.25">
      <c r="A219" s="90" t="s">
        <v>28</v>
      </c>
      <c r="B219" s="56"/>
      <c r="C219" s="65">
        <v>2.9649999999999999</v>
      </c>
      <c r="D219" s="57">
        <v>2.2250000000000001</v>
      </c>
      <c r="E219" s="57"/>
      <c r="F219" s="57"/>
      <c r="G219" s="58"/>
      <c r="H219" s="57"/>
      <c r="I219" s="57">
        <f>C219*D219</f>
        <v>6.5971250000000001</v>
      </c>
      <c r="J219" s="65"/>
      <c r="K219" s="59"/>
      <c r="M219" s="245"/>
      <c r="N219" s="24" t="s">
        <v>41</v>
      </c>
      <c r="O219" s="246"/>
    </row>
    <row r="220" spans="1:15" x14ac:dyDescent="0.25">
      <c r="A220" s="90" t="s">
        <v>203</v>
      </c>
      <c r="B220" s="56"/>
      <c r="C220" s="65">
        <v>2.9649999999999999</v>
      </c>
      <c r="D220" s="57">
        <v>0.18</v>
      </c>
      <c r="E220" s="57"/>
      <c r="F220" s="57"/>
      <c r="G220" s="58"/>
      <c r="H220" s="57"/>
      <c r="I220" s="57">
        <f>C220*D220</f>
        <v>0.53369999999999995</v>
      </c>
      <c r="J220" s="65"/>
      <c r="K220" s="59"/>
      <c r="M220" s="245"/>
      <c r="N220" s="24" t="s">
        <v>41</v>
      </c>
      <c r="O220" s="246"/>
    </row>
    <row r="221" spans="1:15" x14ac:dyDescent="0.25">
      <c r="A221" s="90" t="s">
        <v>204</v>
      </c>
      <c r="B221" s="56"/>
      <c r="C221" s="57">
        <f>0.281+0.564</f>
        <v>0.84499999999999997</v>
      </c>
      <c r="D221" s="57">
        <v>0.18</v>
      </c>
      <c r="E221" s="57"/>
      <c r="F221" s="57"/>
      <c r="G221" s="73">
        <v>2</v>
      </c>
      <c r="H221" s="57"/>
      <c r="I221" s="57">
        <f>C221*D221*G221</f>
        <v>0.30419999999999997</v>
      </c>
      <c r="J221" s="65"/>
      <c r="K221" s="59"/>
      <c r="M221" s="245"/>
      <c r="N221" s="24" t="s">
        <v>41</v>
      </c>
      <c r="O221" s="246"/>
    </row>
    <row r="222" spans="1:15" x14ac:dyDescent="0.25">
      <c r="A222" s="90" t="s">
        <v>18</v>
      </c>
      <c r="B222" s="56"/>
      <c r="C222" s="65">
        <f>4.175+0.16+1.2</f>
        <v>5.5350000000000001</v>
      </c>
      <c r="D222" s="57">
        <v>2.9990000000000001</v>
      </c>
      <c r="E222" s="57"/>
      <c r="F222" s="57"/>
      <c r="G222" s="58"/>
      <c r="H222" s="57"/>
      <c r="I222" s="57">
        <f>C222*D222</f>
        <v>16.599465000000002</v>
      </c>
      <c r="J222" s="65"/>
      <c r="K222" s="59"/>
      <c r="M222" s="245"/>
      <c r="N222" s="24" t="s">
        <v>41</v>
      </c>
      <c r="O222" s="246"/>
    </row>
    <row r="223" spans="1:15" x14ac:dyDescent="0.25">
      <c r="A223" s="90" t="s">
        <v>19</v>
      </c>
      <c r="B223" s="56"/>
      <c r="C223" s="65">
        <f>4.175+0.16+1.2</f>
        <v>5.5350000000000001</v>
      </c>
      <c r="D223" s="57">
        <v>2.9990000000000001</v>
      </c>
      <c r="E223" s="57"/>
      <c r="F223" s="57"/>
      <c r="G223" s="73"/>
      <c r="H223" s="57"/>
      <c r="I223" s="57">
        <f>C223*D223</f>
        <v>16.599465000000002</v>
      </c>
      <c r="J223" s="65"/>
      <c r="K223" s="59"/>
      <c r="M223" s="245"/>
      <c r="N223" s="24" t="s">
        <v>41</v>
      </c>
      <c r="O223" s="246"/>
    </row>
    <row r="224" spans="1:15" x14ac:dyDescent="0.25">
      <c r="A224" s="90" t="s">
        <v>201</v>
      </c>
      <c r="B224" s="56"/>
      <c r="C224" s="57">
        <v>1.7649999999999999</v>
      </c>
      <c r="D224" s="57">
        <v>0.16</v>
      </c>
      <c r="E224" s="57"/>
      <c r="F224" s="57">
        <v>1.8</v>
      </c>
      <c r="G224" s="58"/>
      <c r="H224" s="57">
        <f>C224+D224+C224</f>
        <v>3.6899999999999995</v>
      </c>
      <c r="I224" s="57">
        <f>H224*F224</f>
        <v>6.6419999999999995</v>
      </c>
      <c r="J224" s="65"/>
      <c r="K224" s="59"/>
      <c r="M224" s="245"/>
      <c r="N224" s="24" t="s">
        <v>41</v>
      </c>
      <c r="O224" s="246"/>
    </row>
    <row r="225" spans="1:15" x14ac:dyDescent="0.25">
      <c r="A225" s="90" t="s">
        <v>202</v>
      </c>
      <c r="B225" s="56"/>
      <c r="C225" s="57">
        <v>1.7649999999999999</v>
      </c>
      <c r="D225" s="57">
        <v>0.16</v>
      </c>
      <c r="E225" s="57"/>
      <c r="F225" s="57"/>
      <c r="G225" s="58"/>
      <c r="H225" s="57"/>
      <c r="I225" s="57">
        <f>C225*D225</f>
        <v>0.28239999999999998</v>
      </c>
      <c r="J225" s="65"/>
      <c r="K225" s="59"/>
      <c r="M225" s="245"/>
      <c r="N225" s="24" t="s">
        <v>41</v>
      </c>
      <c r="O225" s="246"/>
    </row>
    <row r="226" spans="1:15" x14ac:dyDescent="0.25">
      <c r="A226" s="89" t="s">
        <v>193</v>
      </c>
      <c r="B226" s="66"/>
      <c r="C226" s="67"/>
      <c r="D226" s="67"/>
      <c r="E226" s="67"/>
      <c r="F226" s="67"/>
      <c r="G226" s="58"/>
      <c r="H226" s="67"/>
      <c r="I226" s="57"/>
      <c r="J226" s="65"/>
      <c r="K226" s="59"/>
      <c r="M226" s="245"/>
      <c r="N226" s="24" t="s">
        <v>41</v>
      </c>
      <c r="O226" s="246"/>
    </row>
    <row r="227" spans="1:15" x14ac:dyDescent="0.25">
      <c r="A227" s="90" t="s">
        <v>31</v>
      </c>
      <c r="B227" s="56"/>
      <c r="C227" s="65">
        <f>1.118+0.867</f>
        <v>1.9850000000000001</v>
      </c>
      <c r="D227" s="57">
        <v>2.9990000000000001</v>
      </c>
      <c r="E227" s="57"/>
      <c r="F227" s="57"/>
      <c r="G227" s="58"/>
      <c r="H227" s="57"/>
      <c r="I227" s="57">
        <f>C227*D227</f>
        <v>5.9530150000000006</v>
      </c>
      <c r="J227" s="65"/>
      <c r="K227" s="59"/>
      <c r="M227" s="245"/>
      <c r="N227" s="24" t="s">
        <v>41</v>
      </c>
      <c r="O227" s="246"/>
    </row>
    <row r="228" spans="1:15" x14ac:dyDescent="0.25">
      <c r="A228" s="70" t="s">
        <v>200</v>
      </c>
      <c r="B228" s="71"/>
      <c r="C228" s="60">
        <v>0.94</v>
      </c>
      <c r="D228" s="60">
        <v>2.14</v>
      </c>
      <c r="E228" s="61"/>
      <c r="F228" s="61"/>
      <c r="G228" s="72">
        <v>1</v>
      </c>
      <c r="H228" s="61"/>
      <c r="I228" s="62">
        <f>C228*D228*G228*-1</f>
        <v>-2.0116000000000001</v>
      </c>
      <c r="J228" s="61"/>
      <c r="K228" s="63"/>
      <c r="M228" s="245"/>
      <c r="N228" s="24" t="s">
        <v>41</v>
      </c>
      <c r="O228" s="246"/>
    </row>
    <row r="229" spans="1:15" x14ac:dyDescent="0.25">
      <c r="A229" s="90" t="s">
        <v>28</v>
      </c>
      <c r="B229" s="56"/>
      <c r="C229" s="65">
        <f>1.118+0.867</f>
        <v>1.9850000000000001</v>
      </c>
      <c r="D229" s="57">
        <v>2.2250000000000001</v>
      </c>
      <c r="E229" s="57"/>
      <c r="F229" s="57"/>
      <c r="G229" s="58"/>
      <c r="H229" s="57"/>
      <c r="I229" s="57">
        <f>C229*D229</f>
        <v>4.4166250000000007</v>
      </c>
      <c r="J229" s="65"/>
      <c r="K229" s="59"/>
      <c r="M229" s="245"/>
      <c r="N229" s="24" t="s">
        <v>41</v>
      </c>
      <c r="O229" s="246"/>
    </row>
    <row r="230" spans="1:15" x14ac:dyDescent="0.25">
      <c r="A230" s="90" t="s">
        <v>203</v>
      </c>
      <c r="B230" s="56"/>
      <c r="C230" s="65">
        <v>1.9849999999999999</v>
      </c>
      <c r="D230" s="57">
        <v>0.18</v>
      </c>
      <c r="E230" s="57"/>
      <c r="F230" s="57"/>
      <c r="G230" s="58"/>
      <c r="H230" s="57"/>
      <c r="I230" s="57">
        <f>C230*D230</f>
        <v>0.35729999999999995</v>
      </c>
      <c r="J230" s="65"/>
      <c r="K230" s="59"/>
      <c r="M230" s="245"/>
      <c r="N230" s="24" t="s">
        <v>41</v>
      </c>
      <c r="O230" s="246"/>
    </row>
    <row r="231" spans="1:15" x14ac:dyDescent="0.25">
      <c r="A231" s="90" t="s">
        <v>204</v>
      </c>
      <c r="B231" s="56"/>
      <c r="C231" s="57">
        <f>0.281+0.564</f>
        <v>0.84499999999999997</v>
      </c>
      <c r="D231" s="57">
        <v>0.18</v>
      </c>
      <c r="E231" s="57"/>
      <c r="F231" s="57"/>
      <c r="G231" s="73">
        <v>2</v>
      </c>
      <c r="H231" s="57"/>
      <c r="I231" s="57">
        <f>C231*D231*G231</f>
        <v>0.30419999999999997</v>
      </c>
      <c r="J231" s="65"/>
      <c r="K231" s="59"/>
      <c r="M231" s="245"/>
      <c r="N231" s="24" t="s">
        <v>41</v>
      </c>
      <c r="O231" s="246"/>
    </row>
    <row r="232" spans="1:15" x14ac:dyDescent="0.25">
      <c r="A232" s="90" t="s">
        <v>18</v>
      </c>
      <c r="B232" s="56"/>
      <c r="C232" s="65">
        <f>4.268+0.17+1.095</f>
        <v>5.5329999999999995</v>
      </c>
      <c r="D232" s="57">
        <v>2.9990000000000001</v>
      </c>
      <c r="E232" s="57"/>
      <c r="F232" s="57"/>
      <c r="G232" s="58"/>
      <c r="H232" s="57"/>
      <c r="I232" s="57">
        <f>C232*D232</f>
        <v>16.593467</v>
      </c>
      <c r="J232" s="65"/>
      <c r="K232" s="59"/>
      <c r="M232" s="245"/>
      <c r="N232" s="24" t="s">
        <v>41</v>
      </c>
      <c r="O232" s="246"/>
    </row>
    <row r="233" spans="1:15" x14ac:dyDescent="0.25">
      <c r="A233" s="90" t="s">
        <v>19</v>
      </c>
      <c r="B233" s="56"/>
      <c r="C233" s="65">
        <f>4.268+0.17+1.095</f>
        <v>5.5329999999999995</v>
      </c>
      <c r="D233" s="57">
        <v>2.9990000000000001</v>
      </c>
      <c r="E233" s="57"/>
      <c r="F233" s="57"/>
      <c r="G233" s="73"/>
      <c r="H233" s="57"/>
      <c r="I233" s="57">
        <f>C233*D233</f>
        <v>16.593467</v>
      </c>
      <c r="J233" s="65"/>
      <c r="K233" s="59"/>
      <c r="M233" s="245"/>
      <c r="N233" s="24" t="s">
        <v>41</v>
      </c>
      <c r="O233" s="246"/>
    </row>
    <row r="234" spans="1:15" x14ac:dyDescent="0.25">
      <c r="A234" s="90" t="s">
        <v>201</v>
      </c>
      <c r="B234" s="56"/>
      <c r="C234" s="57">
        <v>0.98499999999999999</v>
      </c>
      <c r="D234" s="57">
        <v>0.16</v>
      </c>
      <c r="E234" s="57"/>
      <c r="F234" s="57">
        <v>1.81</v>
      </c>
      <c r="G234" s="58"/>
      <c r="H234" s="57">
        <f>C234+D234+C234</f>
        <v>2.13</v>
      </c>
      <c r="I234" s="57">
        <f>H234*F234</f>
        <v>3.8552999999999997</v>
      </c>
      <c r="J234" s="65"/>
      <c r="K234" s="59"/>
      <c r="M234" s="245"/>
      <c r="N234" s="24"/>
      <c r="O234" s="246"/>
    </row>
    <row r="235" spans="1:15" ht="15.75" thickBot="1" x14ac:dyDescent="0.3">
      <c r="A235" s="357" t="s">
        <v>202</v>
      </c>
      <c r="B235" s="76"/>
      <c r="C235" s="77">
        <v>0.98499999999999999</v>
      </c>
      <c r="D235" s="77">
        <v>0.16</v>
      </c>
      <c r="E235" s="77"/>
      <c r="F235" s="77"/>
      <c r="G235" s="103"/>
      <c r="H235" s="77"/>
      <c r="I235" s="77">
        <f>C235*D235</f>
        <v>0.15759999999999999</v>
      </c>
      <c r="J235" s="80"/>
      <c r="K235" s="81"/>
      <c r="M235" s="249"/>
      <c r="N235" s="250" t="s">
        <v>41</v>
      </c>
      <c r="O235" s="251"/>
    </row>
    <row r="236" spans="1:15" ht="15.75" thickBot="1" x14ac:dyDescent="0.3"/>
    <row r="237" spans="1:15" ht="15.75" thickBot="1" x14ac:dyDescent="0.3">
      <c r="A237" s="46" t="s">
        <v>56</v>
      </c>
      <c r="B237" s="47"/>
      <c r="C237" s="48" t="s">
        <v>2</v>
      </c>
      <c r="D237" s="48" t="s">
        <v>3</v>
      </c>
      <c r="E237" s="48" t="s">
        <v>4</v>
      </c>
      <c r="F237" s="48" t="s">
        <v>5</v>
      </c>
      <c r="G237" s="49" t="s">
        <v>1</v>
      </c>
      <c r="H237" s="48" t="s">
        <v>6</v>
      </c>
      <c r="I237" s="48" t="s">
        <v>7</v>
      </c>
      <c r="J237" s="48" t="s">
        <v>8</v>
      </c>
      <c r="K237" s="50" t="s">
        <v>9</v>
      </c>
    </row>
    <row r="238" spans="1:15" x14ac:dyDescent="0.25">
      <c r="A238" s="91" t="s">
        <v>210</v>
      </c>
      <c r="B238" s="92" t="s">
        <v>37</v>
      </c>
      <c r="C238" s="52"/>
      <c r="D238" s="52"/>
      <c r="E238" s="52"/>
      <c r="F238" s="52"/>
      <c r="G238" s="53"/>
      <c r="H238" s="52"/>
      <c r="I238" s="54">
        <f>SUM(I239:I250)</f>
        <v>56.148129999999995</v>
      </c>
      <c r="J238" s="64"/>
      <c r="K238" s="1"/>
      <c r="M238" s="254">
        <v>57.72</v>
      </c>
      <c r="N238" s="255">
        <f>M238-I238</f>
        <v>1.5718700000000041</v>
      </c>
      <c r="O238" s="244">
        <f>N238/M238</f>
        <v>2.7232674982675054E-2</v>
      </c>
    </row>
    <row r="239" spans="1:15" x14ac:dyDescent="0.25">
      <c r="A239" s="55" t="s">
        <v>192</v>
      </c>
      <c r="B239" s="56"/>
      <c r="C239" s="65">
        <f>4.276+0.17+1.087</f>
        <v>5.5329999999999995</v>
      </c>
      <c r="D239" s="65">
        <f>1.256+1.709</f>
        <v>2.9649999999999999</v>
      </c>
      <c r="E239" s="57"/>
      <c r="F239" s="57"/>
      <c r="G239" s="58"/>
      <c r="H239" s="57"/>
      <c r="I239" s="57">
        <f>(C239+0.04)*(D239+0.04)</f>
        <v>16.746865</v>
      </c>
      <c r="J239" s="65"/>
      <c r="K239" s="59"/>
      <c r="M239" s="260"/>
      <c r="N239" s="259"/>
      <c r="O239" s="261"/>
    </row>
    <row r="240" spans="1:15" x14ac:dyDescent="0.25">
      <c r="A240" s="55" t="s">
        <v>209</v>
      </c>
      <c r="B240" s="56"/>
      <c r="C240" s="65">
        <v>0.93799999999999994</v>
      </c>
      <c r="D240" s="65">
        <v>0.26500000000000001</v>
      </c>
      <c r="E240" s="57"/>
      <c r="F240" s="57"/>
      <c r="G240" s="58"/>
      <c r="H240" s="57"/>
      <c r="I240" s="57">
        <f>C240*D240</f>
        <v>0.24856999999999999</v>
      </c>
      <c r="J240" s="65"/>
      <c r="K240" s="59"/>
      <c r="M240" s="260"/>
      <c r="N240" s="259"/>
      <c r="O240" s="261"/>
    </row>
    <row r="241" spans="1:15" x14ac:dyDescent="0.25">
      <c r="A241" s="70" t="s">
        <v>199</v>
      </c>
      <c r="B241" s="71"/>
      <c r="C241" s="60">
        <v>1.7090000000000001</v>
      </c>
      <c r="D241" s="60">
        <v>0.17</v>
      </c>
      <c r="E241" s="360"/>
      <c r="F241" s="360"/>
      <c r="G241" s="361"/>
      <c r="H241" s="360"/>
      <c r="I241" s="62">
        <f>C241*D241*-1</f>
        <v>-0.29053000000000001</v>
      </c>
      <c r="J241" s="362"/>
      <c r="K241" s="363"/>
      <c r="M241" s="260"/>
      <c r="N241" s="259"/>
      <c r="O241" s="261"/>
    </row>
    <row r="242" spans="1:15" x14ac:dyDescent="0.25">
      <c r="A242" s="55" t="s">
        <v>193</v>
      </c>
      <c r="B242" s="56"/>
      <c r="C242" s="65">
        <f>4.268+0.17+1.095</f>
        <v>5.5329999999999995</v>
      </c>
      <c r="D242" s="65">
        <f>1.118+0.867</f>
        <v>1.9850000000000001</v>
      </c>
      <c r="E242" s="57"/>
      <c r="F242" s="57"/>
      <c r="G242" s="58"/>
      <c r="H242" s="57"/>
      <c r="I242" s="57">
        <f>(C242+0.04)*(D242+0.04)</f>
        <v>11.285324999999998</v>
      </c>
      <c r="J242" s="65"/>
      <c r="K242" s="59"/>
      <c r="M242" s="260"/>
      <c r="N242" s="259"/>
      <c r="O242" s="261"/>
    </row>
    <row r="243" spans="1:15" x14ac:dyDescent="0.25">
      <c r="A243" s="55" t="s">
        <v>209</v>
      </c>
      <c r="B243" s="56"/>
      <c r="C243" s="65">
        <v>0.93799999999999994</v>
      </c>
      <c r="D243" s="65">
        <v>0.26500000000000001</v>
      </c>
      <c r="E243" s="57"/>
      <c r="F243" s="57"/>
      <c r="G243" s="58"/>
      <c r="H243" s="57"/>
      <c r="I243" s="57">
        <f>C243*D243</f>
        <v>0.24856999999999999</v>
      </c>
      <c r="J243" s="65"/>
      <c r="K243" s="59"/>
      <c r="M243" s="260"/>
      <c r="N243" s="259"/>
      <c r="O243" s="261"/>
    </row>
    <row r="244" spans="1:15" x14ac:dyDescent="0.25">
      <c r="A244" s="70" t="s">
        <v>199</v>
      </c>
      <c r="B244" s="71"/>
      <c r="C244" s="60">
        <v>1.1180000000000001</v>
      </c>
      <c r="D244" s="60">
        <v>0.17</v>
      </c>
      <c r="E244" s="360"/>
      <c r="F244" s="360"/>
      <c r="G244" s="361"/>
      <c r="H244" s="360"/>
      <c r="I244" s="62">
        <f>C244*D244*-1</f>
        <v>-0.19006000000000003</v>
      </c>
      <c r="J244" s="362"/>
      <c r="K244" s="363"/>
      <c r="M244" s="260"/>
      <c r="N244" s="259"/>
      <c r="O244" s="261"/>
    </row>
    <row r="245" spans="1:15" x14ac:dyDescent="0.25">
      <c r="A245" s="55" t="s">
        <v>194</v>
      </c>
      <c r="B245" s="56"/>
      <c r="C245" s="65">
        <f>4.175+0.16+1.2</f>
        <v>5.5350000000000001</v>
      </c>
      <c r="D245" s="65">
        <f>2.965</f>
        <v>2.9649999999999999</v>
      </c>
      <c r="E245" s="57"/>
      <c r="F245" s="57"/>
      <c r="G245" s="58"/>
      <c r="H245" s="57"/>
      <c r="I245" s="57">
        <f>(C245+0.04)*(D245+0.04)</f>
        <v>16.752875</v>
      </c>
      <c r="J245" s="65"/>
      <c r="K245" s="59"/>
      <c r="M245" s="260"/>
      <c r="N245" s="259"/>
      <c r="O245" s="261"/>
    </row>
    <row r="246" spans="1:15" x14ac:dyDescent="0.25">
      <c r="A246" s="55" t="s">
        <v>209</v>
      </c>
      <c r="B246" s="56"/>
      <c r="C246" s="65">
        <v>0.93799999999999994</v>
      </c>
      <c r="D246" s="65">
        <v>0.26500000000000001</v>
      </c>
      <c r="E246" s="57"/>
      <c r="F246" s="57"/>
      <c r="G246" s="58"/>
      <c r="H246" s="57"/>
      <c r="I246" s="57">
        <f>C246*D246</f>
        <v>0.24856999999999999</v>
      </c>
      <c r="J246" s="65"/>
      <c r="K246" s="59"/>
      <c r="M246" s="260"/>
      <c r="N246" s="259"/>
      <c r="O246" s="261"/>
    </row>
    <row r="247" spans="1:15" x14ac:dyDescent="0.25">
      <c r="A247" s="70" t="s">
        <v>199</v>
      </c>
      <c r="B247" s="71"/>
      <c r="C247" s="60">
        <v>1.7649999999999999</v>
      </c>
      <c r="D247" s="60">
        <v>0.16</v>
      </c>
      <c r="E247" s="360"/>
      <c r="F247" s="360"/>
      <c r="G247" s="361"/>
      <c r="H247" s="360"/>
      <c r="I247" s="62">
        <f>C247*D247*-1</f>
        <v>-0.28239999999999998</v>
      </c>
      <c r="J247" s="362"/>
      <c r="K247" s="363"/>
      <c r="M247" s="260"/>
      <c r="N247" s="259"/>
      <c r="O247" s="261"/>
    </row>
    <row r="248" spans="1:15" x14ac:dyDescent="0.25">
      <c r="A248" s="55" t="s">
        <v>195</v>
      </c>
      <c r="B248" s="56"/>
      <c r="C248" s="65">
        <f>4.175+0.16+1.2</f>
        <v>5.5350000000000001</v>
      </c>
      <c r="D248" s="65">
        <f>1+0.985</f>
        <v>1.9849999999999999</v>
      </c>
      <c r="E248" s="57"/>
      <c r="F248" s="57"/>
      <c r="G248" s="58"/>
      <c r="H248" s="57"/>
      <c r="I248" s="57">
        <f>(C248+0.04)*(D248+0.04)</f>
        <v>11.289375</v>
      </c>
      <c r="J248" s="65"/>
      <c r="K248" s="59"/>
      <c r="M248" s="260"/>
      <c r="N248" s="259"/>
      <c r="O248" s="261"/>
    </row>
    <row r="249" spans="1:15" x14ac:dyDescent="0.25">
      <c r="A249" s="55" t="s">
        <v>209</v>
      </c>
      <c r="B249" s="56"/>
      <c r="C249" s="65">
        <v>0.93799999999999994</v>
      </c>
      <c r="D249" s="65">
        <v>0.26500000000000001</v>
      </c>
      <c r="E249" s="57"/>
      <c r="F249" s="57"/>
      <c r="G249" s="58"/>
      <c r="H249" s="57"/>
      <c r="I249" s="57">
        <f>C249*D249</f>
        <v>0.24856999999999999</v>
      </c>
      <c r="J249" s="65"/>
      <c r="K249" s="59"/>
      <c r="M249" s="260"/>
      <c r="N249" s="259"/>
      <c r="O249" s="261"/>
    </row>
    <row r="250" spans="1:15" ht="15.75" thickBot="1" x14ac:dyDescent="0.3">
      <c r="A250" s="93" t="s">
        <v>199</v>
      </c>
      <c r="B250" s="94"/>
      <c r="C250" s="95">
        <v>0.98499999999999999</v>
      </c>
      <c r="D250" s="95">
        <v>0.16</v>
      </c>
      <c r="E250" s="364"/>
      <c r="F250" s="364"/>
      <c r="G250" s="365"/>
      <c r="H250" s="364"/>
      <c r="I250" s="98">
        <f>C250*D250*-1</f>
        <v>-0.15759999999999999</v>
      </c>
      <c r="J250" s="366"/>
      <c r="K250" s="367"/>
      <c r="M250" s="368"/>
      <c r="N250" s="369"/>
      <c r="O250" s="370"/>
    </row>
    <row r="251" spans="1:15" ht="15.75" thickBot="1" x14ac:dyDescent="0.3"/>
    <row r="252" spans="1:15" ht="15.75" thickBot="1" x14ac:dyDescent="0.3">
      <c r="A252" s="46" t="s">
        <v>49</v>
      </c>
      <c r="B252" s="47"/>
      <c r="C252" s="48" t="s">
        <v>2</v>
      </c>
      <c r="D252" s="48" t="s">
        <v>3</v>
      </c>
      <c r="E252" s="48" t="s">
        <v>4</v>
      </c>
      <c r="F252" s="48" t="s">
        <v>5</v>
      </c>
      <c r="G252" s="49" t="s">
        <v>1</v>
      </c>
      <c r="H252" s="48" t="s">
        <v>6</v>
      </c>
      <c r="I252" s="48" t="s">
        <v>7</v>
      </c>
      <c r="J252" s="48" t="s">
        <v>8</v>
      </c>
      <c r="K252" s="50" t="s">
        <v>9</v>
      </c>
    </row>
    <row r="253" spans="1:15" x14ac:dyDescent="0.25">
      <c r="A253" s="82" t="s">
        <v>53</v>
      </c>
      <c r="B253" s="83" t="s">
        <v>37</v>
      </c>
      <c r="C253" s="84"/>
      <c r="D253" s="84"/>
      <c r="E253" s="84"/>
      <c r="F253" s="84"/>
      <c r="G253" s="85"/>
      <c r="H253" s="84"/>
      <c r="I253" s="86">
        <f>SUM(I254:I287)</f>
        <v>99.025330000000011</v>
      </c>
      <c r="J253" s="87"/>
      <c r="K253" s="88"/>
      <c r="M253" s="254">
        <f>N256</f>
        <v>96.31</v>
      </c>
      <c r="N253" s="255">
        <f>M253-I253</f>
        <v>-2.7153300000000087</v>
      </c>
      <c r="O253" s="244">
        <f>N253/M253</f>
        <v>-2.8193645519676135E-2</v>
      </c>
    </row>
    <row r="254" spans="1:15" x14ac:dyDescent="0.25">
      <c r="A254" s="101" t="s">
        <v>46</v>
      </c>
      <c r="B254" s="56"/>
      <c r="C254" s="57"/>
      <c r="D254" s="57"/>
      <c r="E254" s="57"/>
      <c r="F254" s="57"/>
      <c r="G254" s="58"/>
      <c r="H254" s="57"/>
      <c r="I254" s="57">
        <f>I238</f>
        <v>56.148129999999995</v>
      </c>
      <c r="J254" s="65"/>
      <c r="K254" s="59" t="s">
        <v>89</v>
      </c>
      <c r="M254" s="245" t="s">
        <v>175</v>
      </c>
      <c r="N254" s="24">
        <v>40.340000000000003</v>
      </c>
      <c r="O254" s="246"/>
    </row>
    <row r="255" spans="1:15" x14ac:dyDescent="0.25">
      <c r="A255" s="101" t="s">
        <v>44</v>
      </c>
      <c r="B255" s="56"/>
      <c r="C255" s="57"/>
      <c r="D255" s="57"/>
      <c r="E255" s="57"/>
      <c r="F255" s="57"/>
      <c r="G255" s="58"/>
      <c r="H255" s="57"/>
      <c r="I255" s="57"/>
      <c r="J255" s="65"/>
      <c r="K255" s="59"/>
      <c r="M255" s="245" t="s">
        <v>176</v>
      </c>
      <c r="N255" s="24">
        <v>55.97</v>
      </c>
      <c r="O255" s="246"/>
    </row>
    <row r="256" spans="1:15" x14ac:dyDescent="0.25">
      <c r="A256" s="89" t="s">
        <v>192</v>
      </c>
      <c r="B256" s="66"/>
      <c r="C256" s="67"/>
      <c r="D256" s="67"/>
      <c r="E256" s="67"/>
      <c r="F256" s="67"/>
      <c r="G256" s="58"/>
      <c r="H256" s="67"/>
      <c r="I256" s="57"/>
      <c r="J256" s="65"/>
      <c r="K256" s="59"/>
      <c r="M256" s="260" t="s">
        <v>101</v>
      </c>
      <c r="N256" s="259">
        <f>SUM(N254:N255)</f>
        <v>96.31</v>
      </c>
      <c r="O256" s="246"/>
    </row>
    <row r="257" spans="1:15" x14ac:dyDescent="0.25">
      <c r="A257" s="90" t="s">
        <v>31</v>
      </c>
      <c r="B257" s="56"/>
      <c r="C257" s="57">
        <v>2.9649999999999999</v>
      </c>
      <c r="D257" s="57">
        <v>0.6</v>
      </c>
      <c r="E257" s="57"/>
      <c r="F257" s="57"/>
      <c r="G257" s="58"/>
      <c r="H257" s="57"/>
      <c r="I257" s="57">
        <f>C257*D257</f>
        <v>1.7789999999999999</v>
      </c>
      <c r="J257" s="65"/>
      <c r="K257" s="59"/>
      <c r="M257" s="245"/>
      <c r="N257" s="24" t="s">
        <v>41</v>
      </c>
      <c r="O257" s="246"/>
    </row>
    <row r="258" spans="1:15" x14ac:dyDescent="0.25">
      <c r="A258" s="70" t="s">
        <v>200</v>
      </c>
      <c r="B258" s="71"/>
      <c r="C258" s="60">
        <v>0.94</v>
      </c>
      <c r="D258" s="60">
        <v>0.6</v>
      </c>
      <c r="E258" s="61"/>
      <c r="F258" s="61"/>
      <c r="G258" s="72">
        <v>1</v>
      </c>
      <c r="H258" s="61"/>
      <c r="I258" s="62">
        <f>C258*D258*G258*-1</f>
        <v>-0.56399999999999995</v>
      </c>
      <c r="J258" s="61"/>
      <c r="K258" s="63"/>
      <c r="M258" s="245"/>
      <c r="N258" s="24" t="s">
        <v>41</v>
      </c>
      <c r="O258" s="246"/>
    </row>
    <row r="259" spans="1:15" x14ac:dyDescent="0.25">
      <c r="A259" s="90" t="s">
        <v>28</v>
      </c>
      <c r="B259" s="56"/>
      <c r="C259" s="57">
        <v>2.9649999999999999</v>
      </c>
      <c r="D259" s="57">
        <v>0.6</v>
      </c>
      <c r="E259" s="57"/>
      <c r="F259" s="57"/>
      <c r="G259" s="58"/>
      <c r="H259" s="57"/>
      <c r="I259" s="57">
        <f>C259*D259</f>
        <v>1.7789999999999999</v>
      </c>
      <c r="J259" s="65"/>
      <c r="K259" s="59"/>
      <c r="M259" s="245"/>
      <c r="N259" s="24" t="s">
        <v>41</v>
      </c>
      <c r="O259" s="246"/>
    </row>
    <row r="260" spans="1:15" x14ac:dyDescent="0.25">
      <c r="A260" s="90" t="s">
        <v>18</v>
      </c>
      <c r="B260" s="56"/>
      <c r="C260" s="65">
        <f>4.276+0.17+1.087</f>
        <v>5.5329999999999995</v>
      </c>
      <c r="D260" s="57">
        <v>0.6</v>
      </c>
      <c r="E260" s="57"/>
      <c r="F260" s="57"/>
      <c r="G260" s="58"/>
      <c r="H260" s="57"/>
      <c r="I260" s="57">
        <f>C260*D260</f>
        <v>3.3197999999999994</v>
      </c>
      <c r="J260" s="65"/>
      <c r="K260" s="59"/>
      <c r="M260" s="245"/>
      <c r="N260" s="24" t="s">
        <v>41</v>
      </c>
      <c r="O260" s="246"/>
    </row>
    <row r="261" spans="1:15" x14ac:dyDescent="0.25">
      <c r="A261" s="90" t="s">
        <v>19</v>
      </c>
      <c r="B261" s="56"/>
      <c r="C261" s="65">
        <f>4.276+0.17+1.087</f>
        <v>5.5329999999999995</v>
      </c>
      <c r="D261" s="57">
        <v>0.6</v>
      </c>
      <c r="E261" s="57"/>
      <c r="F261" s="57"/>
      <c r="G261" s="73"/>
      <c r="H261" s="57"/>
      <c r="I261" s="57">
        <f>C261*D261</f>
        <v>3.3197999999999994</v>
      </c>
      <c r="J261" s="65"/>
      <c r="K261" s="59"/>
      <c r="M261" s="245"/>
      <c r="N261" s="24" t="s">
        <v>41</v>
      </c>
      <c r="O261" s="246"/>
    </row>
    <row r="262" spans="1:15" x14ac:dyDescent="0.25">
      <c r="A262" s="70" t="s">
        <v>199</v>
      </c>
      <c r="B262" s="71"/>
      <c r="C262" s="60">
        <v>0.17</v>
      </c>
      <c r="D262" s="60">
        <v>0.6</v>
      </c>
      <c r="E262" s="61"/>
      <c r="F262" s="61"/>
      <c r="G262" s="72">
        <v>1</v>
      </c>
      <c r="H262" s="61"/>
      <c r="I262" s="62">
        <f>C262*D262*G262*-1</f>
        <v>-0.10200000000000001</v>
      </c>
      <c r="J262" s="61"/>
      <c r="K262" s="63"/>
      <c r="M262" s="245"/>
      <c r="N262" s="24" t="s">
        <v>41</v>
      </c>
      <c r="O262" s="246"/>
    </row>
    <row r="263" spans="1:15" x14ac:dyDescent="0.25">
      <c r="A263" s="90" t="s">
        <v>201</v>
      </c>
      <c r="B263" s="56"/>
      <c r="C263" s="57">
        <v>1.7090000000000001</v>
      </c>
      <c r="D263" s="57">
        <v>0.17</v>
      </c>
      <c r="E263" s="57"/>
      <c r="F263" s="57">
        <v>0.6</v>
      </c>
      <c r="G263" s="58"/>
      <c r="H263" s="57">
        <f>C263+D263+C263</f>
        <v>3.5880000000000001</v>
      </c>
      <c r="I263" s="57">
        <f>H263*F263</f>
        <v>2.1528</v>
      </c>
      <c r="J263" s="65"/>
      <c r="K263" s="59"/>
      <c r="M263" s="245"/>
      <c r="N263" s="24" t="s">
        <v>41</v>
      </c>
      <c r="O263" s="246"/>
    </row>
    <row r="264" spans="1:15" x14ac:dyDescent="0.25">
      <c r="A264" s="89" t="s">
        <v>193</v>
      </c>
      <c r="B264" s="66"/>
      <c r="C264" s="67"/>
      <c r="D264" s="67"/>
      <c r="E264" s="67"/>
      <c r="F264" s="67"/>
      <c r="G264" s="58"/>
      <c r="H264" s="67"/>
      <c r="I264" s="57"/>
      <c r="J264" s="65"/>
      <c r="K264" s="59"/>
      <c r="M264" s="245"/>
      <c r="N264" s="24" t="s">
        <v>41</v>
      </c>
      <c r="O264" s="246"/>
    </row>
    <row r="265" spans="1:15" x14ac:dyDescent="0.25">
      <c r="A265" s="90" t="s">
        <v>31</v>
      </c>
      <c r="B265" s="56"/>
      <c r="C265" s="65">
        <f>1.118+0.867</f>
        <v>1.9850000000000001</v>
      </c>
      <c r="D265" s="57">
        <v>0.6</v>
      </c>
      <c r="E265" s="57"/>
      <c r="F265" s="57"/>
      <c r="G265" s="58"/>
      <c r="H265" s="57"/>
      <c r="I265" s="57">
        <f>C265*D265</f>
        <v>1.1910000000000001</v>
      </c>
      <c r="J265" s="65"/>
      <c r="K265" s="59"/>
      <c r="M265" s="245"/>
      <c r="N265" s="24" t="s">
        <v>41</v>
      </c>
      <c r="O265" s="246"/>
    </row>
    <row r="266" spans="1:15" x14ac:dyDescent="0.25">
      <c r="A266" s="70" t="s">
        <v>200</v>
      </c>
      <c r="B266" s="71"/>
      <c r="C266" s="60">
        <v>0.94</v>
      </c>
      <c r="D266" s="60">
        <v>0.6</v>
      </c>
      <c r="E266" s="61"/>
      <c r="F266" s="61"/>
      <c r="G266" s="72">
        <v>1</v>
      </c>
      <c r="H266" s="61"/>
      <c r="I266" s="62">
        <f>C266*D266*G266*-1</f>
        <v>-0.56399999999999995</v>
      </c>
      <c r="J266" s="61"/>
      <c r="K266" s="63"/>
      <c r="M266" s="245"/>
      <c r="N266" s="24" t="s">
        <v>41</v>
      </c>
      <c r="O266" s="246"/>
    </row>
    <row r="267" spans="1:15" x14ac:dyDescent="0.25">
      <c r="A267" s="90" t="s">
        <v>28</v>
      </c>
      <c r="B267" s="56"/>
      <c r="C267" s="65">
        <f>1.118+0.867</f>
        <v>1.9850000000000001</v>
      </c>
      <c r="D267" s="57">
        <v>0.6</v>
      </c>
      <c r="E267" s="57"/>
      <c r="F267" s="57"/>
      <c r="G267" s="58"/>
      <c r="H267" s="57"/>
      <c r="I267" s="57">
        <f>C267*D267</f>
        <v>1.1910000000000001</v>
      </c>
      <c r="J267" s="65"/>
      <c r="K267" s="59"/>
      <c r="M267" s="245"/>
      <c r="N267" s="24" t="s">
        <v>41</v>
      </c>
      <c r="O267" s="246"/>
    </row>
    <row r="268" spans="1:15" x14ac:dyDescent="0.25">
      <c r="A268" s="90" t="s">
        <v>18</v>
      </c>
      <c r="B268" s="56"/>
      <c r="C268" s="65">
        <f>4.268+0.17+1.095</f>
        <v>5.5329999999999995</v>
      </c>
      <c r="D268" s="57">
        <v>0.6</v>
      </c>
      <c r="E268" s="57"/>
      <c r="F268" s="57"/>
      <c r="G268" s="58"/>
      <c r="H268" s="57"/>
      <c r="I268" s="57">
        <f>C268*D268</f>
        <v>3.3197999999999994</v>
      </c>
      <c r="J268" s="65"/>
      <c r="K268" s="59"/>
      <c r="M268" s="245"/>
      <c r="N268" s="24" t="s">
        <v>41</v>
      </c>
      <c r="O268" s="246"/>
    </row>
    <row r="269" spans="1:15" x14ac:dyDescent="0.25">
      <c r="A269" s="70" t="s">
        <v>199</v>
      </c>
      <c r="B269" s="71"/>
      <c r="C269" s="60">
        <v>0.17</v>
      </c>
      <c r="D269" s="60">
        <v>0.6</v>
      </c>
      <c r="E269" s="61"/>
      <c r="F269" s="61"/>
      <c r="G269" s="72">
        <v>1</v>
      </c>
      <c r="H269" s="61"/>
      <c r="I269" s="62">
        <f>C269*D269*G269*-1</f>
        <v>-0.10200000000000001</v>
      </c>
      <c r="J269" s="61"/>
      <c r="K269" s="63"/>
      <c r="M269" s="245"/>
      <c r="N269" s="24" t="s">
        <v>41</v>
      </c>
      <c r="O269" s="246"/>
    </row>
    <row r="270" spans="1:15" x14ac:dyDescent="0.25">
      <c r="A270" s="90" t="s">
        <v>19</v>
      </c>
      <c r="B270" s="56"/>
      <c r="C270" s="65">
        <f>4.268+0.17+1.095</f>
        <v>5.5329999999999995</v>
      </c>
      <c r="D270" s="57">
        <v>0.6</v>
      </c>
      <c r="E270" s="57"/>
      <c r="F270" s="57"/>
      <c r="G270" s="73"/>
      <c r="H270" s="57"/>
      <c r="I270" s="57">
        <f>C270*D270</f>
        <v>3.3197999999999994</v>
      </c>
      <c r="J270" s="65"/>
      <c r="K270" s="59"/>
      <c r="M270" s="245"/>
      <c r="N270" s="24" t="s">
        <v>41</v>
      </c>
      <c r="O270" s="246"/>
    </row>
    <row r="271" spans="1:15" x14ac:dyDescent="0.25">
      <c r="A271" s="90" t="s">
        <v>201</v>
      </c>
      <c r="B271" s="56"/>
      <c r="C271" s="57">
        <v>1.1180000000000001</v>
      </c>
      <c r="D271" s="57">
        <v>0.17</v>
      </c>
      <c r="E271" s="57"/>
      <c r="F271" s="57">
        <v>0.6</v>
      </c>
      <c r="G271" s="58"/>
      <c r="H271" s="57">
        <f>C271+D271+C271</f>
        <v>2.4060000000000001</v>
      </c>
      <c r="I271" s="57">
        <f>H271*F271</f>
        <v>1.4436</v>
      </c>
      <c r="J271" s="65"/>
      <c r="K271" s="59"/>
      <c r="M271" s="245"/>
      <c r="N271" s="24" t="s">
        <v>41</v>
      </c>
      <c r="O271" s="246"/>
    </row>
    <row r="272" spans="1:15" x14ac:dyDescent="0.25">
      <c r="A272" s="89" t="s">
        <v>194</v>
      </c>
      <c r="B272" s="66"/>
      <c r="C272" s="67"/>
      <c r="D272" s="67"/>
      <c r="E272" s="67"/>
      <c r="F272" s="67"/>
      <c r="G272" s="58"/>
      <c r="H272" s="67"/>
      <c r="I272" s="57"/>
      <c r="J272" s="65"/>
      <c r="K272" s="59"/>
      <c r="M272" s="245"/>
      <c r="N272" s="24" t="s">
        <v>41</v>
      </c>
      <c r="O272" s="246"/>
    </row>
    <row r="273" spans="1:15" x14ac:dyDescent="0.25">
      <c r="A273" s="90" t="s">
        <v>31</v>
      </c>
      <c r="B273" s="56"/>
      <c r="C273" s="65">
        <v>2.9649999999999999</v>
      </c>
      <c r="D273" s="57">
        <v>0.6</v>
      </c>
      <c r="E273" s="57"/>
      <c r="F273" s="57"/>
      <c r="G273" s="58"/>
      <c r="H273" s="57"/>
      <c r="I273" s="57">
        <f>C273*D273</f>
        <v>1.7789999999999999</v>
      </c>
      <c r="J273" s="65"/>
      <c r="K273" s="59"/>
      <c r="M273" s="245"/>
      <c r="N273" s="24" t="s">
        <v>41</v>
      </c>
      <c r="O273" s="246"/>
    </row>
    <row r="274" spans="1:15" x14ac:dyDescent="0.25">
      <c r="A274" s="70" t="s">
        <v>200</v>
      </c>
      <c r="B274" s="71"/>
      <c r="C274" s="60">
        <v>0.94</v>
      </c>
      <c r="D274" s="60">
        <v>0.6</v>
      </c>
      <c r="E274" s="61"/>
      <c r="F274" s="61"/>
      <c r="G274" s="72">
        <v>1</v>
      </c>
      <c r="H274" s="61"/>
      <c r="I274" s="62">
        <f>C274*D274*G274*-1</f>
        <v>-0.56399999999999995</v>
      </c>
      <c r="J274" s="61"/>
      <c r="K274" s="63"/>
      <c r="M274" s="245"/>
      <c r="N274" s="24" t="s">
        <v>41</v>
      </c>
      <c r="O274" s="246"/>
    </row>
    <row r="275" spans="1:15" x14ac:dyDescent="0.25">
      <c r="A275" s="90" t="s">
        <v>28</v>
      </c>
      <c r="B275" s="56"/>
      <c r="C275" s="65">
        <v>2.9649999999999999</v>
      </c>
      <c r="D275" s="57">
        <v>0.6</v>
      </c>
      <c r="E275" s="57"/>
      <c r="F275" s="57"/>
      <c r="G275" s="58"/>
      <c r="H275" s="57"/>
      <c r="I275" s="57">
        <f>C275*D275</f>
        <v>1.7789999999999999</v>
      </c>
      <c r="J275" s="65"/>
      <c r="K275" s="59"/>
      <c r="M275" s="245"/>
      <c r="N275" s="24" t="s">
        <v>41</v>
      </c>
      <c r="O275" s="246"/>
    </row>
    <row r="276" spans="1:15" x14ac:dyDescent="0.25">
      <c r="A276" s="90" t="s">
        <v>18</v>
      </c>
      <c r="B276" s="56"/>
      <c r="C276" s="65">
        <f>4.175+0.16+1.2</f>
        <v>5.5350000000000001</v>
      </c>
      <c r="D276" s="57">
        <v>0.6</v>
      </c>
      <c r="E276" s="57"/>
      <c r="F276" s="57"/>
      <c r="G276" s="58"/>
      <c r="H276" s="57"/>
      <c r="I276" s="57">
        <f>C276*D276</f>
        <v>3.3210000000000002</v>
      </c>
      <c r="J276" s="65"/>
      <c r="K276" s="59"/>
      <c r="M276" s="245"/>
      <c r="N276" s="24" t="s">
        <v>41</v>
      </c>
      <c r="O276" s="246"/>
    </row>
    <row r="277" spans="1:15" x14ac:dyDescent="0.25">
      <c r="A277" s="90" t="s">
        <v>19</v>
      </c>
      <c r="B277" s="56"/>
      <c r="C277" s="65">
        <f>4.175+0.16+1.2</f>
        <v>5.5350000000000001</v>
      </c>
      <c r="D277" s="57">
        <v>0.6</v>
      </c>
      <c r="E277" s="57"/>
      <c r="F277" s="57"/>
      <c r="G277" s="73"/>
      <c r="H277" s="57"/>
      <c r="I277" s="57">
        <f>C277*D277</f>
        <v>3.3210000000000002</v>
      </c>
      <c r="J277" s="65"/>
      <c r="K277" s="59"/>
      <c r="M277" s="245"/>
      <c r="N277" s="24" t="s">
        <v>41</v>
      </c>
      <c r="O277" s="246"/>
    </row>
    <row r="278" spans="1:15" x14ac:dyDescent="0.25">
      <c r="A278" s="70" t="s">
        <v>199</v>
      </c>
      <c r="B278" s="71"/>
      <c r="C278" s="60">
        <v>0.16</v>
      </c>
      <c r="D278" s="60">
        <v>0.6</v>
      </c>
      <c r="E278" s="61"/>
      <c r="F278" s="61"/>
      <c r="G278" s="72">
        <v>1</v>
      </c>
      <c r="H278" s="61"/>
      <c r="I278" s="62">
        <f>C278*D278*G278*-1</f>
        <v>-9.6000000000000002E-2</v>
      </c>
      <c r="J278" s="61"/>
      <c r="K278" s="63"/>
      <c r="M278" s="245"/>
      <c r="N278" s="24" t="s">
        <v>41</v>
      </c>
      <c r="O278" s="246"/>
    </row>
    <row r="279" spans="1:15" x14ac:dyDescent="0.25">
      <c r="A279" s="90" t="s">
        <v>201</v>
      </c>
      <c r="B279" s="56"/>
      <c r="C279" s="57">
        <v>1.7649999999999999</v>
      </c>
      <c r="D279" s="57">
        <v>0.16</v>
      </c>
      <c r="E279" s="57"/>
      <c r="F279" s="57">
        <v>0.6</v>
      </c>
      <c r="G279" s="58"/>
      <c r="H279" s="57">
        <f>C279+D279+C279</f>
        <v>3.6899999999999995</v>
      </c>
      <c r="I279" s="57">
        <f>H279*F279</f>
        <v>2.2139999999999995</v>
      </c>
      <c r="J279" s="65"/>
      <c r="K279" s="59"/>
      <c r="M279" s="245"/>
      <c r="N279" s="24" t="s">
        <v>41</v>
      </c>
      <c r="O279" s="246"/>
    </row>
    <row r="280" spans="1:15" x14ac:dyDescent="0.25">
      <c r="A280" s="89" t="s">
        <v>193</v>
      </c>
      <c r="B280" s="66"/>
      <c r="C280" s="67"/>
      <c r="D280" s="67"/>
      <c r="E280" s="67"/>
      <c r="F280" s="67"/>
      <c r="G280" s="58"/>
      <c r="H280" s="67"/>
      <c r="I280" s="57"/>
      <c r="J280" s="65"/>
      <c r="K280" s="59"/>
      <c r="M280" s="245"/>
      <c r="N280" s="24" t="s">
        <v>41</v>
      </c>
      <c r="O280" s="246"/>
    </row>
    <row r="281" spans="1:15" x14ac:dyDescent="0.25">
      <c r="A281" s="90" t="s">
        <v>31</v>
      </c>
      <c r="B281" s="56"/>
      <c r="C281" s="65">
        <f>1.118+0.867</f>
        <v>1.9850000000000001</v>
      </c>
      <c r="D281" s="57">
        <v>0.6</v>
      </c>
      <c r="E281" s="57"/>
      <c r="F281" s="57"/>
      <c r="G281" s="58"/>
      <c r="H281" s="57"/>
      <c r="I281" s="57">
        <f>C281*D281</f>
        <v>1.1910000000000001</v>
      </c>
      <c r="J281" s="65"/>
      <c r="K281" s="59"/>
      <c r="M281" s="245"/>
      <c r="N281" s="24" t="s">
        <v>41</v>
      </c>
      <c r="O281" s="246"/>
    </row>
    <row r="282" spans="1:15" x14ac:dyDescent="0.25">
      <c r="A282" s="70" t="s">
        <v>200</v>
      </c>
      <c r="B282" s="71"/>
      <c r="C282" s="60">
        <v>0.94</v>
      </c>
      <c r="D282" s="60">
        <v>0.6</v>
      </c>
      <c r="E282" s="61"/>
      <c r="F282" s="61"/>
      <c r="G282" s="72">
        <v>1</v>
      </c>
      <c r="H282" s="61"/>
      <c r="I282" s="62">
        <f>C282*D282*G282*-1</f>
        <v>-0.56399999999999995</v>
      </c>
      <c r="J282" s="61"/>
      <c r="K282" s="63"/>
      <c r="M282" s="245"/>
      <c r="N282" s="24" t="s">
        <v>41</v>
      </c>
      <c r="O282" s="246"/>
    </row>
    <row r="283" spans="1:15" x14ac:dyDescent="0.25">
      <c r="A283" s="90" t="s">
        <v>28</v>
      </c>
      <c r="B283" s="56"/>
      <c r="C283" s="65">
        <f>1.118+0.867</f>
        <v>1.9850000000000001</v>
      </c>
      <c r="D283" s="57">
        <v>0.6</v>
      </c>
      <c r="E283" s="57"/>
      <c r="F283" s="57"/>
      <c r="G283" s="58"/>
      <c r="H283" s="57"/>
      <c r="I283" s="57">
        <f>C283*D283</f>
        <v>1.1910000000000001</v>
      </c>
      <c r="J283" s="65"/>
      <c r="K283" s="59"/>
      <c r="M283" s="245"/>
      <c r="N283" s="24" t="s">
        <v>41</v>
      </c>
      <c r="O283" s="246"/>
    </row>
    <row r="284" spans="1:15" x14ac:dyDescent="0.25">
      <c r="A284" s="90" t="s">
        <v>18</v>
      </c>
      <c r="B284" s="56"/>
      <c r="C284" s="65">
        <f>4.268+0.17+1.095</f>
        <v>5.5329999999999995</v>
      </c>
      <c r="D284" s="57">
        <v>0.6</v>
      </c>
      <c r="E284" s="57"/>
      <c r="F284" s="57"/>
      <c r="G284" s="58"/>
      <c r="H284" s="57"/>
      <c r="I284" s="57">
        <f>C284*D284</f>
        <v>3.3197999999999994</v>
      </c>
      <c r="J284" s="65"/>
      <c r="K284" s="59"/>
      <c r="M284" s="245"/>
      <c r="N284" s="24" t="s">
        <v>41</v>
      </c>
      <c r="O284" s="246"/>
    </row>
    <row r="285" spans="1:15" x14ac:dyDescent="0.25">
      <c r="A285" s="90" t="s">
        <v>19</v>
      </c>
      <c r="B285" s="56"/>
      <c r="C285" s="65">
        <f>4.268+0.17+1.095</f>
        <v>5.5329999999999995</v>
      </c>
      <c r="D285" s="57">
        <v>0.6</v>
      </c>
      <c r="E285" s="57"/>
      <c r="F285" s="57"/>
      <c r="G285" s="73"/>
      <c r="H285" s="57"/>
      <c r="I285" s="57">
        <f>C285*D285</f>
        <v>3.3197999999999994</v>
      </c>
      <c r="J285" s="65"/>
      <c r="K285" s="59"/>
      <c r="M285" s="245"/>
      <c r="N285" s="24" t="s">
        <v>41</v>
      </c>
      <c r="O285" s="246"/>
    </row>
    <row r="286" spans="1:15" x14ac:dyDescent="0.25">
      <c r="A286" s="90" t="s">
        <v>201</v>
      </c>
      <c r="B286" s="56"/>
      <c r="C286" s="57">
        <v>0.98499999999999999</v>
      </c>
      <c r="D286" s="57">
        <v>0.16</v>
      </c>
      <c r="E286" s="57"/>
      <c r="F286" s="57">
        <v>0.6</v>
      </c>
      <c r="G286" s="58"/>
      <c r="H286" s="57">
        <f>C286+D286+C286</f>
        <v>2.13</v>
      </c>
      <c r="I286" s="57">
        <f>H286*F286</f>
        <v>1.2779999999999998</v>
      </c>
      <c r="J286" s="65"/>
      <c r="K286" s="59"/>
      <c r="M286" s="245"/>
      <c r="N286" s="24" t="s">
        <v>41</v>
      </c>
      <c r="O286" s="246"/>
    </row>
    <row r="287" spans="1:15" ht="15.75" thickBot="1" x14ac:dyDescent="0.3">
      <c r="A287" s="93" t="s">
        <v>199</v>
      </c>
      <c r="B287" s="94"/>
      <c r="C287" s="95">
        <v>0.16</v>
      </c>
      <c r="D287" s="95">
        <v>0.6</v>
      </c>
      <c r="E287" s="96"/>
      <c r="F287" s="96"/>
      <c r="G287" s="97">
        <v>1</v>
      </c>
      <c r="H287" s="96"/>
      <c r="I287" s="98">
        <f>C287*D287*G287*-1</f>
        <v>-9.6000000000000002E-2</v>
      </c>
      <c r="J287" s="96"/>
      <c r="K287" s="99"/>
      <c r="M287" s="249"/>
      <c r="N287" s="250" t="s">
        <v>41</v>
      </c>
      <c r="O287" s="251"/>
    </row>
    <row r="288" spans="1:15" ht="15.75" thickBot="1" x14ac:dyDescent="0.3"/>
    <row r="289" spans="1:15" ht="15.75" thickBot="1" x14ac:dyDescent="0.3">
      <c r="A289" s="46" t="s">
        <v>57</v>
      </c>
      <c r="B289" s="47"/>
      <c r="C289" s="48" t="s">
        <v>2</v>
      </c>
      <c r="D289" s="48" t="s">
        <v>3</v>
      </c>
      <c r="E289" s="48" t="s">
        <v>4</v>
      </c>
      <c r="F289" s="48" t="s">
        <v>58</v>
      </c>
      <c r="G289" s="49" t="s">
        <v>1</v>
      </c>
      <c r="H289" s="48" t="s">
        <v>6</v>
      </c>
      <c r="I289" s="48" t="s">
        <v>7</v>
      </c>
      <c r="J289" s="48" t="s">
        <v>8</v>
      </c>
      <c r="K289" s="50" t="s">
        <v>9</v>
      </c>
    </row>
    <row r="290" spans="1:15" x14ac:dyDescent="0.25">
      <c r="A290" s="105" t="s">
        <v>59</v>
      </c>
      <c r="B290" s="106" t="s">
        <v>37</v>
      </c>
      <c r="C290" s="84"/>
      <c r="D290" s="84"/>
      <c r="E290" s="84"/>
      <c r="F290" s="84"/>
      <c r="G290" s="85"/>
      <c r="H290" s="84"/>
      <c r="I290" s="86">
        <f>SUM(I291:I294)</f>
        <v>54.786599999999993</v>
      </c>
      <c r="J290" s="84"/>
      <c r="K290" s="88"/>
      <c r="M290" s="254">
        <f>54.1+O292</f>
        <v>57.175200000000004</v>
      </c>
      <c r="N290" s="255">
        <f>M290-I290</f>
        <v>2.3886000000000109</v>
      </c>
      <c r="O290" s="244">
        <f>N290/M290</f>
        <v>4.1776854300466126E-2</v>
      </c>
    </row>
    <row r="291" spans="1:15" x14ac:dyDescent="0.25">
      <c r="A291" s="55" t="s">
        <v>192</v>
      </c>
      <c r="B291" s="56"/>
      <c r="C291" s="65">
        <f>4.276+0.17+1.087</f>
        <v>5.5329999999999995</v>
      </c>
      <c r="D291" s="65">
        <f>1.256+1.709</f>
        <v>2.9649999999999999</v>
      </c>
      <c r="E291" s="57"/>
      <c r="F291" s="57"/>
      <c r="G291" s="58"/>
      <c r="H291" s="57"/>
      <c r="I291" s="57">
        <f>C291*D291</f>
        <v>16.405344999999997</v>
      </c>
      <c r="J291" s="65"/>
      <c r="K291" s="59"/>
      <c r="M291" s="245" t="s">
        <v>93</v>
      </c>
      <c r="N291" s="24" t="s">
        <v>41</v>
      </c>
      <c r="O291" s="246"/>
    </row>
    <row r="292" spans="1:15" x14ac:dyDescent="0.25">
      <c r="A292" s="55" t="s">
        <v>193</v>
      </c>
      <c r="B292" s="56"/>
      <c r="C292" s="65">
        <f>4.268+0.17+1.095</f>
        <v>5.5329999999999995</v>
      </c>
      <c r="D292" s="65">
        <f>1.118+0.867</f>
        <v>1.9850000000000001</v>
      </c>
      <c r="E292" s="57"/>
      <c r="F292" s="57"/>
      <c r="G292" s="58"/>
      <c r="H292" s="57"/>
      <c r="I292" s="57">
        <f>C292*D292</f>
        <v>10.983005</v>
      </c>
      <c r="J292" s="65"/>
      <c r="K292" s="59"/>
      <c r="M292" s="257">
        <v>8</v>
      </c>
      <c r="N292" s="24">
        <f>0.62*0.62</f>
        <v>0.38440000000000002</v>
      </c>
      <c r="O292" s="246">
        <f>M292*N292</f>
        <v>3.0752000000000002</v>
      </c>
    </row>
    <row r="293" spans="1:15" x14ac:dyDescent="0.25">
      <c r="A293" s="55" t="s">
        <v>194</v>
      </c>
      <c r="B293" s="56"/>
      <c r="C293" s="65">
        <f>4.175+0.16+1.2</f>
        <v>5.5350000000000001</v>
      </c>
      <c r="D293" s="65">
        <v>2.9649999999999999</v>
      </c>
      <c r="E293" s="57"/>
      <c r="F293" s="57"/>
      <c r="G293" s="58"/>
      <c r="H293" s="57"/>
      <c r="I293" s="57">
        <f>C293*D293</f>
        <v>16.411275</v>
      </c>
      <c r="J293" s="65"/>
      <c r="K293" s="59"/>
      <c r="M293" s="245"/>
      <c r="N293" s="24" t="s">
        <v>41</v>
      </c>
      <c r="O293" s="246"/>
    </row>
    <row r="294" spans="1:15" ht="15.75" thickBot="1" x14ac:dyDescent="0.3">
      <c r="A294" s="75" t="s">
        <v>195</v>
      </c>
      <c r="B294" s="76"/>
      <c r="C294" s="80">
        <f>4.175+0.16+1.2</f>
        <v>5.5350000000000001</v>
      </c>
      <c r="D294" s="80">
        <f>1+0.985</f>
        <v>1.9849999999999999</v>
      </c>
      <c r="E294" s="77"/>
      <c r="F294" s="77"/>
      <c r="G294" s="103"/>
      <c r="H294" s="77"/>
      <c r="I294" s="77">
        <f>C294*D294</f>
        <v>10.986974999999999</v>
      </c>
      <c r="J294" s="80"/>
      <c r="K294" s="81"/>
      <c r="M294" s="249"/>
      <c r="N294" s="250" t="s">
        <v>41</v>
      </c>
      <c r="O294" s="251"/>
    </row>
    <row r="295" spans="1:15" ht="15.75" thickBot="1" x14ac:dyDescent="0.3"/>
    <row r="296" spans="1:15" ht="15.75" thickBot="1" x14ac:dyDescent="0.3">
      <c r="A296" s="46" t="s">
        <v>60</v>
      </c>
      <c r="B296" s="47"/>
      <c r="C296" s="48" t="s">
        <v>2</v>
      </c>
      <c r="D296" s="48" t="s">
        <v>3</v>
      </c>
      <c r="E296" s="48" t="s">
        <v>4</v>
      </c>
      <c r="F296" s="48" t="s">
        <v>5</v>
      </c>
      <c r="G296" s="49" t="s">
        <v>1</v>
      </c>
      <c r="H296" s="48" t="s">
        <v>6</v>
      </c>
      <c r="I296" s="48" t="s">
        <v>7</v>
      </c>
      <c r="J296" s="48" t="s">
        <v>8</v>
      </c>
      <c r="K296" s="50" t="s">
        <v>9</v>
      </c>
    </row>
    <row r="297" spans="1:15" ht="25.5" x14ac:dyDescent="0.25">
      <c r="A297" s="111" t="s">
        <v>61</v>
      </c>
      <c r="B297" s="92" t="s">
        <v>37</v>
      </c>
      <c r="C297" s="52"/>
      <c r="D297" s="52"/>
      <c r="E297" s="52"/>
      <c r="F297" s="52"/>
      <c r="G297" s="53"/>
      <c r="H297" s="52"/>
      <c r="I297" s="54">
        <f>SUM(I298:I337)</f>
        <v>202.96678800000001</v>
      </c>
      <c r="J297" s="64"/>
      <c r="K297" s="1"/>
      <c r="M297" s="254">
        <v>205.34</v>
      </c>
      <c r="N297" s="255">
        <f>M297-I297</f>
        <v>2.3732119999999952</v>
      </c>
      <c r="O297" s="244">
        <f>N297/M297</f>
        <v>1.1557475406642618E-2</v>
      </c>
    </row>
    <row r="298" spans="1:15" x14ac:dyDescent="0.25">
      <c r="A298" s="89" t="s">
        <v>192</v>
      </c>
      <c r="B298" s="66"/>
      <c r="C298" s="67"/>
      <c r="D298" s="67"/>
      <c r="E298" s="67"/>
      <c r="F298" s="67"/>
      <c r="G298" s="58"/>
      <c r="H298" s="67"/>
      <c r="I298" s="57"/>
      <c r="J298" s="65"/>
      <c r="K298" s="59"/>
      <c r="M298" s="245"/>
      <c r="N298" s="24" t="s">
        <v>41</v>
      </c>
      <c r="O298" s="246"/>
    </row>
    <row r="299" spans="1:15" x14ac:dyDescent="0.25">
      <c r="A299" s="90" t="s">
        <v>31</v>
      </c>
      <c r="B299" s="56"/>
      <c r="C299" s="57">
        <v>2.9649999999999999</v>
      </c>
      <c r="D299" s="57">
        <v>2.9990000000000001</v>
      </c>
      <c r="E299" s="57"/>
      <c r="F299" s="57"/>
      <c r="G299" s="58"/>
      <c r="H299" s="57"/>
      <c r="I299" s="57">
        <f>C299*D299</f>
        <v>8.8920349999999999</v>
      </c>
      <c r="J299" s="65"/>
      <c r="K299" s="59"/>
      <c r="M299" s="245"/>
      <c r="N299" s="24" t="s">
        <v>41</v>
      </c>
      <c r="O299" s="246"/>
    </row>
    <row r="300" spans="1:15" x14ac:dyDescent="0.25">
      <c r="A300" s="70" t="s">
        <v>200</v>
      </c>
      <c r="B300" s="71"/>
      <c r="C300" s="60">
        <v>0.94</v>
      </c>
      <c r="D300" s="60">
        <v>2.14</v>
      </c>
      <c r="E300" s="61"/>
      <c r="F300" s="61"/>
      <c r="G300" s="72">
        <v>1</v>
      </c>
      <c r="H300" s="61"/>
      <c r="I300" s="62">
        <f>C300*D300*G300*-1</f>
        <v>-2.0116000000000001</v>
      </c>
      <c r="J300" s="61"/>
      <c r="K300" s="63"/>
      <c r="M300" s="245"/>
      <c r="N300" s="24" t="s">
        <v>41</v>
      </c>
      <c r="O300" s="246"/>
    </row>
    <row r="301" spans="1:15" x14ac:dyDescent="0.25">
      <c r="A301" s="90" t="s">
        <v>28</v>
      </c>
      <c r="B301" s="56"/>
      <c r="C301" s="57">
        <v>2.9649999999999999</v>
      </c>
      <c r="D301" s="57">
        <v>2.335</v>
      </c>
      <c r="E301" s="57"/>
      <c r="F301" s="57"/>
      <c r="G301" s="58"/>
      <c r="H301" s="57"/>
      <c r="I301" s="57">
        <f>C301*D301</f>
        <v>6.9232749999999994</v>
      </c>
      <c r="J301" s="65"/>
      <c r="K301" s="59"/>
      <c r="M301" s="245"/>
      <c r="N301" s="24" t="s">
        <v>41</v>
      </c>
      <c r="O301" s="246"/>
    </row>
    <row r="302" spans="1:15" x14ac:dyDescent="0.25">
      <c r="A302" s="90" t="s">
        <v>203</v>
      </c>
      <c r="B302" s="56"/>
      <c r="C302" s="57">
        <v>2.9649999999999999</v>
      </c>
      <c r="D302" s="57">
        <v>0.18</v>
      </c>
      <c r="E302" s="57"/>
      <c r="F302" s="57"/>
      <c r="G302" s="58"/>
      <c r="H302" s="57"/>
      <c r="I302" s="57">
        <f>C302*D302</f>
        <v>0.53369999999999995</v>
      </c>
      <c r="J302" s="65"/>
      <c r="K302" s="59"/>
      <c r="M302" s="245"/>
      <c r="N302" s="24" t="s">
        <v>41</v>
      </c>
      <c r="O302" s="246"/>
    </row>
    <row r="303" spans="1:15" x14ac:dyDescent="0.25">
      <c r="A303" s="90" t="s">
        <v>204</v>
      </c>
      <c r="B303" s="56"/>
      <c r="C303" s="57">
        <f>0.281+0.564</f>
        <v>0.84499999999999997</v>
      </c>
      <c r="D303" s="57">
        <v>0.18</v>
      </c>
      <c r="E303" s="57"/>
      <c r="F303" s="57"/>
      <c r="G303" s="73">
        <v>2</v>
      </c>
      <c r="H303" s="57"/>
      <c r="I303" s="57">
        <f>C303*D303*G303</f>
        <v>0.30419999999999997</v>
      </c>
      <c r="J303" s="65"/>
      <c r="K303" s="59"/>
      <c r="M303" s="245"/>
      <c r="N303" s="24" t="s">
        <v>41</v>
      </c>
      <c r="O303" s="246"/>
    </row>
    <row r="304" spans="1:15" x14ac:dyDescent="0.25">
      <c r="A304" s="90" t="s">
        <v>18</v>
      </c>
      <c r="B304" s="56"/>
      <c r="C304" s="65">
        <f>4.276+0.17+1.087</f>
        <v>5.5329999999999995</v>
      </c>
      <c r="D304" s="57">
        <v>2.9990000000000001</v>
      </c>
      <c r="E304" s="57"/>
      <c r="F304" s="57"/>
      <c r="G304" s="58"/>
      <c r="H304" s="57"/>
      <c r="I304" s="57">
        <f>C304*D304</f>
        <v>16.593467</v>
      </c>
      <c r="J304" s="65"/>
      <c r="K304" s="59"/>
      <c r="M304" s="245"/>
      <c r="N304" s="24" t="s">
        <v>41</v>
      </c>
      <c r="O304" s="246"/>
    </row>
    <row r="305" spans="1:15" x14ac:dyDescent="0.25">
      <c r="A305" s="90" t="s">
        <v>19</v>
      </c>
      <c r="B305" s="56"/>
      <c r="C305" s="65">
        <f>4.276+0.17+1.087</f>
        <v>5.5329999999999995</v>
      </c>
      <c r="D305" s="57">
        <v>2.9990000000000001</v>
      </c>
      <c r="E305" s="57"/>
      <c r="F305" s="57"/>
      <c r="G305" s="73"/>
      <c r="H305" s="57"/>
      <c r="I305" s="57">
        <f>C305*D305</f>
        <v>16.593467</v>
      </c>
      <c r="J305" s="65"/>
      <c r="K305" s="59"/>
      <c r="M305" s="245"/>
      <c r="N305" s="24" t="s">
        <v>41</v>
      </c>
      <c r="O305" s="246"/>
    </row>
    <row r="306" spans="1:15" x14ac:dyDescent="0.25">
      <c r="A306" s="90" t="s">
        <v>201</v>
      </c>
      <c r="B306" s="56"/>
      <c r="C306" s="57">
        <v>1.7090000000000001</v>
      </c>
      <c r="D306" s="57">
        <v>0.17</v>
      </c>
      <c r="E306" s="57"/>
      <c r="F306" s="57">
        <v>1.8979999999999999</v>
      </c>
      <c r="G306" s="58"/>
      <c r="H306" s="57">
        <f>C306+D306+C306</f>
        <v>3.5880000000000001</v>
      </c>
      <c r="I306" s="57">
        <f>H306*F306</f>
        <v>6.8100239999999994</v>
      </c>
      <c r="J306" s="65"/>
      <c r="K306" s="59"/>
      <c r="M306" s="245"/>
      <c r="N306" s="24" t="s">
        <v>41</v>
      </c>
      <c r="O306" s="246"/>
    </row>
    <row r="307" spans="1:15" x14ac:dyDescent="0.25">
      <c r="A307" s="90" t="s">
        <v>202</v>
      </c>
      <c r="B307" s="56"/>
      <c r="C307" s="57">
        <v>1.7090000000000001</v>
      </c>
      <c r="D307" s="57">
        <v>0.17</v>
      </c>
      <c r="E307" s="57"/>
      <c r="F307" s="57"/>
      <c r="G307" s="58"/>
      <c r="H307" s="57"/>
      <c r="I307" s="57">
        <f>C307*D307</f>
        <v>0.29053000000000001</v>
      </c>
      <c r="J307" s="65"/>
      <c r="K307" s="59"/>
      <c r="M307" s="245"/>
      <c r="N307" s="24" t="s">
        <v>41</v>
      </c>
      <c r="O307" s="246"/>
    </row>
    <row r="308" spans="1:15" x14ac:dyDescent="0.25">
      <c r="A308" s="89" t="s">
        <v>193</v>
      </c>
      <c r="B308" s="66"/>
      <c r="C308" s="67"/>
      <c r="D308" s="67"/>
      <c r="E308" s="67"/>
      <c r="F308" s="67"/>
      <c r="G308" s="58"/>
      <c r="H308" s="67"/>
      <c r="I308" s="57"/>
      <c r="J308" s="65"/>
      <c r="K308" s="59"/>
      <c r="M308" s="245"/>
      <c r="N308" s="24" t="s">
        <v>41</v>
      </c>
      <c r="O308" s="246"/>
    </row>
    <row r="309" spans="1:15" ht="30" customHeight="1" x14ac:dyDescent="0.25">
      <c r="A309" s="90" t="s">
        <v>31</v>
      </c>
      <c r="B309" s="56"/>
      <c r="C309" s="65">
        <f>1.118+0.867</f>
        <v>1.9850000000000001</v>
      </c>
      <c r="D309" s="57">
        <v>2.9990000000000001</v>
      </c>
      <c r="E309" s="57"/>
      <c r="F309" s="57"/>
      <c r="G309" s="58"/>
      <c r="H309" s="57"/>
      <c r="I309" s="57">
        <f>C309*D309</f>
        <v>5.9530150000000006</v>
      </c>
      <c r="J309" s="65"/>
      <c r="K309" s="59"/>
      <c r="M309" s="245"/>
      <c r="N309" s="24" t="s">
        <v>41</v>
      </c>
      <c r="O309" s="246"/>
    </row>
    <row r="310" spans="1:15" ht="27.75" customHeight="1" x14ac:dyDescent="0.25">
      <c r="A310" s="70" t="s">
        <v>200</v>
      </c>
      <c r="B310" s="71"/>
      <c r="C310" s="60">
        <v>0.94</v>
      </c>
      <c r="D310" s="60">
        <v>2.14</v>
      </c>
      <c r="E310" s="61"/>
      <c r="F310" s="61"/>
      <c r="G310" s="72">
        <v>1</v>
      </c>
      <c r="H310" s="61"/>
      <c r="I310" s="62">
        <f>C310*D310*G310*-1</f>
        <v>-2.0116000000000001</v>
      </c>
      <c r="J310" s="61"/>
      <c r="K310" s="63"/>
      <c r="M310" s="245"/>
      <c r="N310" s="24" t="s">
        <v>41</v>
      </c>
      <c r="O310" s="246"/>
    </row>
    <row r="311" spans="1:15" x14ac:dyDescent="0.25">
      <c r="A311" s="90" t="s">
        <v>28</v>
      </c>
      <c r="B311" s="56"/>
      <c r="C311" s="65">
        <f>1.118+0.867</f>
        <v>1.9850000000000001</v>
      </c>
      <c r="D311" s="57">
        <v>2.335</v>
      </c>
      <c r="E311" s="57"/>
      <c r="F311" s="57"/>
      <c r="G311" s="58"/>
      <c r="H311" s="57"/>
      <c r="I311" s="57">
        <f>C311*D311</f>
        <v>4.6349749999999998</v>
      </c>
      <c r="J311" s="65"/>
      <c r="K311" s="59"/>
      <c r="M311" s="245"/>
      <c r="N311" s="24" t="s">
        <v>41</v>
      </c>
      <c r="O311" s="246"/>
    </row>
    <row r="312" spans="1:15" x14ac:dyDescent="0.25">
      <c r="A312" s="90" t="s">
        <v>203</v>
      </c>
      <c r="B312" s="56"/>
      <c r="C312" s="57">
        <v>2.9649999999999999</v>
      </c>
      <c r="D312" s="57">
        <v>0.18</v>
      </c>
      <c r="E312" s="57"/>
      <c r="F312" s="57"/>
      <c r="G312" s="58"/>
      <c r="H312" s="57"/>
      <c r="I312" s="57">
        <f>C312*D312</f>
        <v>0.53369999999999995</v>
      </c>
      <c r="J312" s="65"/>
      <c r="K312" s="59"/>
      <c r="M312" s="245"/>
      <c r="N312" s="24" t="s">
        <v>41</v>
      </c>
      <c r="O312" s="246"/>
    </row>
    <row r="313" spans="1:15" x14ac:dyDescent="0.25">
      <c r="A313" s="90" t="s">
        <v>204</v>
      </c>
      <c r="B313" s="56"/>
      <c r="C313" s="57">
        <f>0.281+0.564</f>
        <v>0.84499999999999997</v>
      </c>
      <c r="D313" s="57">
        <v>0.18</v>
      </c>
      <c r="E313" s="57"/>
      <c r="F313" s="57"/>
      <c r="G313" s="73">
        <v>2</v>
      </c>
      <c r="H313" s="57"/>
      <c r="I313" s="57">
        <f>C313*D313*G313</f>
        <v>0.30419999999999997</v>
      </c>
      <c r="J313" s="65"/>
      <c r="K313" s="59"/>
      <c r="M313" s="245"/>
      <c r="N313" s="24" t="s">
        <v>41</v>
      </c>
      <c r="O313" s="246"/>
    </row>
    <row r="314" spans="1:15" x14ac:dyDescent="0.25">
      <c r="A314" s="90" t="s">
        <v>18</v>
      </c>
      <c r="B314" s="56"/>
      <c r="C314" s="65">
        <f>4.268+0.17+1.095</f>
        <v>5.5329999999999995</v>
      </c>
      <c r="D314" s="57">
        <v>2.9990000000000001</v>
      </c>
      <c r="E314" s="57"/>
      <c r="F314" s="57"/>
      <c r="G314" s="58"/>
      <c r="H314" s="57"/>
      <c r="I314" s="57">
        <f>C314*D314</f>
        <v>16.593467</v>
      </c>
      <c r="J314" s="65"/>
      <c r="K314" s="59"/>
      <c r="M314" s="245"/>
      <c r="N314" s="24" t="s">
        <v>41</v>
      </c>
      <c r="O314" s="246"/>
    </row>
    <row r="315" spans="1:15" x14ac:dyDescent="0.25">
      <c r="A315" s="90" t="s">
        <v>19</v>
      </c>
      <c r="B315" s="56"/>
      <c r="C315" s="65">
        <f>4.268+0.17+1.095</f>
        <v>5.5329999999999995</v>
      </c>
      <c r="D315" s="57">
        <v>2.9990000000000001</v>
      </c>
      <c r="E315" s="57"/>
      <c r="F315" s="57"/>
      <c r="G315" s="73"/>
      <c r="H315" s="57"/>
      <c r="I315" s="57">
        <f>C315*D315</f>
        <v>16.593467</v>
      </c>
      <c r="J315" s="65"/>
      <c r="K315" s="59"/>
      <c r="M315" s="245"/>
      <c r="N315" s="24" t="s">
        <v>41</v>
      </c>
      <c r="O315" s="246"/>
    </row>
    <row r="316" spans="1:15" x14ac:dyDescent="0.25">
      <c r="A316" s="90" t="s">
        <v>201</v>
      </c>
      <c r="B316" s="56"/>
      <c r="C316" s="57">
        <v>1.1180000000000001</v>
      </c>
      <c r="D316" s="57">
        <v>0.17</v>
      </c>
      <c r="E316" s="57"/>
      <c r="F316" s="57">
        <v>1.907</v>
      </c>
      <c r="G316" s="58"/>
      <c r="H316" s="57">
        <f>C316+D316+C316</f>
        <v>2.4060000000000001</v>
      </c>
      <c r="I316" s="57">
        <f>H316*F316</f>
        <v>4.5882420000000002</v>
      </c>
      <c r="J316" s="65"/>
      <c r="K316" s="59"/>
      <c r="M316" s="245"/>
      <c r="N316" s="24" t="s">
        <v>41</v>
      </c>
      <c r="O316" s="246"/>
    </row>
    <row r="317" spans="1:15" x14ac:dyDescent="0.25">
      <c r="A317" s="90" t="s">
        <v>202</v>
      </c>
      <c r="B317" s="56"/>
      <c r="C317" s="57">
        <v>1.1180000000000001</v>
      </c>
      <c r="D317" s="57">
        <v>0.17</v>
      </c>
      <c r="E317" s="57"/>
      <c r="F317" s="57"/>
      <c r="G317" s="58"/>
      <c r="H317" s="57"/>
      <c r="I317" s="57">
        <f>C317*D317</f>
        <v>0.19006000000000003</v>
      </c>
      <c r="J317" s="65"/>
      <c r="K317" s="59"/>
      <c r="M317" s="245"/>
      <c r="N317" s="24" t="s">
        <v>41</v>
      </c>
      <c r="O317" s="246"/>
    </row>
    <row r="318" spans="1:15" x14ac:dyDescent="0.25">
      <c r="A318" s="89" t="s">
        <v>194</v>
      </c>
      <c r="B318" s="66"/>
      <c r="C318" s="67"/>
      <c r="D318" s="67"/>
      <c r="E318" s="67"/>
      <c r="F318" s="67"/>
      <c r="G318" s="58"/>
      <c r="H318" s="67"/>
      <c r="I318" s="57"/>
      <c r="J318" s="65"/>
      <c r="K318" s="59"/>
      <c r="M318" s="245"/>
      <c r="N318" s="24" t="s">
        <v>41</v>
      </c>
      <c r="O318" s="246"/>
    </row>
    <row r="319" spans="1:15" x14ac:dyDescent="0.25">
      <c r="A319" s="90" t="s">
        <v>31</v>
      </c>
      <c r="B319" s="56"/>
      <c r="C319" s="65">
        <v>2.9649999999999999</v>
      </c>
      <c r="D319" s="57">
        <v>2.9990000000000001</v>
      </c>
      <c r="E319" s="57"/>
      <c r="F319" s="57"/>
      <c r="G319" s="58"/>
      <c r="H319" s="57"/>
      <c r="I319" s="57">
        <f>C319*D319</f>
        <v>8.8920349999999999</v>
      </c>
      <c r="J319" s="65"/>
      <c r="K319" s="59"/>
      <c r="M319" s="245"/>
      <c r="N319" s="24" t="s">
        <v>41</v>
      </c>
      <c r="O319" s="246"/>
    </row>
    <row r="320" spans="1:15" x14ac:dyDescent="0.25">
      <c r="A320" s="70" t="s">
        <v>200</v>
      </c>
      <c r="B320" s="71"/>
      <c r="C320" s="60">
        <v>0.94</v>
      </c>
      <c r="D320" s="60">
        <v>2.14</v>
      </c>
      <c r="E320" s="61"/>
      <c r="F320" s="61"/>
      <c r="G320" s="72">
        <v>1</v>
      </c>
      <c r="H320" s="61"/>
      <c r="I320" s="62">
        <f>C320*D320*G320*-1</f>
        <v>-2.0116000000000001</v>
      </c>
      <c r="J320" s="61"/>
      <c r="K320" s="63"/>
      <c r="M320" s="245"/>
      <c r="N320" s="24" t="s">
        <v>41</v>
      </c>
      <c r="O320" s="246"/>
    </row>
    <row r="321" spans="1:15" x14ac:dyDescent="0.25">
      <c r="A321" s="90" t="s">
        <v>28</v>
      </c>
      <c r="B321" s="56"/>
      <c r="C321" s="65">
        <v>2.9649999999999999</v>
      </c>
      <c r="D321" s="57">
        <v>2.2250000000000001</v>
      </c>
      <c r="E321" s="57"/>
      <c r="F321" s="57"/>
      <c r="G321" s="58"/>
      <c r="H321" s="57"/>
      <c r="I321" s="57">
        <f>C321*D321</f>
        <v>6.5971250000000001</v>
      </c>
      <c r="J321" s="65"/>
      <c r="K321" s="59"/>
      <c r="M321" s="245"/>
      <c r="N321" s="24" t="s">
        <v>41</v>
      </c>
      <c r="O321" s="246"/>
    </row>
    <row r="322" spans="1:15" x14ac:dyDescent="0.25">
      <c r="A322" s="90" t="s">
        <v>203</v>
      </c>
      <c r="B322" s="56"/>
      <c r="C322" s="65">
        <v>2.9649999999999999</v>
      </c>
      <c r="D322" s="57">
        <v>0.18</v>
      </c>
      <c r="E322" s="57"/>
      <c r="F322" s="57"/>
      <c r="G322" s="58"/>
      <c r="H322" s="57"/>
      <c r="I322" s="57">
        <f>C322*D322</f>
        <v>0.53369999999999995</v>
      </c>
      <c r="J322" s="65"/>
      <c r="K322" s="59"/>
      <c r="M322" s="245"/>
      <c r="N322" s="24" t="s">
        <v>41</v>
      </c>
      <c r="O322" s="246"/>
    </row>
    <row r="323" spans="1:15" x14ac:dyDescent="0.25">
      <c r="A323" s="90" t="s">
        <v>204</v>
      </c>
      <c r="B323" s="56"/>
      <c r="C323" s="57">
        <f>0.281+0.564</f>
        <v>0.84499999999999997</v>
      </c>
      <c r="D323" s="57">
        <v>0.18</v>
      </c>
      <c r="E323" s="57"/>
      <c r="F323" s="57"/>
      <c r="G323" s="73">
        <v>2</v>
      </c>
      <c r="H323" s="57"/>
      <c r="I323" s="57">
        <f>C323*D323*G323</f>
        <v>0.30419999999999997</v>
      </c>
      <c r="J323" s="65"/>
      <c r="K323" s="59"/>
      <c r="M323" s="245"/>
      <c r="N323" s="24" t="s">
        <v>41</v>
      </c>
      <c r="O323" s="246"/>
    </row>
    <row r="324" spans="1:15" x14ac:dyDescent="0.25">
      <c r="A324" s="90" t="s">
        <v>18</v>
      </c>
      <c r="B324" s="56"/>
      <c r="C324" s="65">
        <f>4.175+0.16+1.2</f>
        <v>5.5350000000000001</v>
      </c>
      <c r="D324" s="57">
        <v>2.9990000000000001</v>
      </c>
      <c r="E324" s="57"/>
      <c r="F324" s="57"/>
      <c r="G324" s="58"/>
      <c r="H324" s="57"/>
      <c r="I324" s="57">
        <f>C324*D324</f>
        <v>16.599465000000002</v>
      </c>
      <c r="J324" s="65"/>
      <c r="K324" s="59"/>
      <c r="M324" s="245"/>
      <c r="N324" s="24" t="s">
        <v>41</v>
      </c>
      <c r="O324" s="246"/>
    </row>
    <row r="325" spans="1:15" x14ac:dyDescent="0.25">
      <c r="A325" s="90" t="s">
        <v>19</v>
      </c>
      <c r="B325" s="56"/>
      <c r="C325" s="65">
        <f>4.175+0.16+1.2</f>
        <v>5.5350000000000001</v>
      </c>
      <c r="D325" s="57">
        <v>2.9990000000000001</v>
      </c>
      <c r="E325" s="57"/>
      <c r="F325" s="57"/>
      <c r="G325" s="73"/>
      <c r="H325" s="57"/>
      <c r="I325" s="57">
        <f>C325*D325</f>
        <v>16.599465000000002</v>
      </c>
      <c r="J325" s="65"/>
      <c r="K325" s="59"/>
      <c r="M325" s="245"/>
      <c r="N325" s="24" t="s">
        <v>41</v>
      </c>
      <c r="O325" s="246"/>
    </row>
    <row r="326" spans="1:15" x14ac:dyDescent="0.25">
      <c r="A326" s="90" t="s">
        <v>201</v>
      </c>
      <c r="B326" s="56"/>
      <c r="C326" s="57">
        <v>1.7649999999999999</v>
      </c>
      <c r="D326" s="57">
        <v>0.16</v>
      </c>
      <c r="E326" s="57"/>
      <c r="F326" s="57">
        <v>1.8</v>
      </c>
      <c r="G326" s="58"/>
      <c r="H326" s="57">
        <f>C326+D326+C326</f>
        <v>3.6899999999999995</v>
      </c>
      <c r="I326" s="57">
        <f>H326*F326</f>
        <v>6.6419999999999995</v>
      </c>
      <c r="J326" s="65"/>
      <c r="K326" s="59"/>
      <c r="M326" s="245"/>
      <c r="N326" s="24" t="s">
        <v>41</v>
      </c>
      <c r="O326" s="246"/>
    </row>
    <row r="327" spans="1:15" x14ac:dyDescent="0.25">
      <c r="A327" s="90" t="s">
        <v>202</v>
      </c>
      <c r="B327" s="56"/>
      <c r="C327" s="57">
        <v>1.7649999999999999</v>
      </c>
      <c r="D327" s="57">
        <v>0.16</v>
      </c>
      <c r="E327" s="57"/>
      <c r="F327" s="57"/>
      <c r="G327" s="58"/>
      <c r="H327" s="57"/>
      <c r="I327" s="57">
        <f>C327*D327</f>
        <v>0.28239999999999998</v>
      </c>
      <c r="J327" s="65"/>
      <c r="K327" s="59"/>
      <c r="M327" s="245"/>
      <c r="N327" s="24" t="s">
        <v>41</v>
      </c>
      <c r="O327" s="246"/>
    </row>
    <row r="328" spans="1:15" x14ac:dyDescent="0.25">
      <c r="A328" s="89" t="s">
        <v>193</v>
      </c>
      <c r="B328" s="66"/>
      <c r="C328" s="67"/>
      <c r="D328" s="67"/>
      <c r="E328" s="67"/>
      <c r="F328" s="67"/>
      <c r="G328" s="58"/>
      <c r="H328" s="67"/>
      <c r="I328" s="57"/>
      <c r="J328" s="65"/>
      <c r="K328" s="59"/>
      <c r="M328" s="245"/>
      <c r="N328" s="24" t="s">
        <v>41</v>
      </c>
      <c r="O328" s="246"/>
    </row>
    <row r="329" spans="1:15" x14ac:dyDescent="0.25">
      <c r="A329" s="90" t="s">
        <v>31</v>
      </c>
      <c r="B329" s="56"/>
      <c r="C329" s="65">
        <f>1.118+0.867</f>
        <v>1.9850000000000001</v>
      </c>
      <c r="D329" s="57">
        <v>2.9990000000000001</v>
      </c>
      <c r="E329" s="57"/>
      <c r="F329" s="57"/>
      <c r="G329" s="58"/>
      <c r="H329" s="57"/>
      <c r="I329" s="57">
        <f>C329*D329</f>
        <v>5.9530150000000006</v>
      </c>
      <c r="J329" s="65"/>
      <c r="K329" s="59"/>
      <c r="M329" s="245"/>
      <c r="N329" s="24" t="s">
        <v>41</v>
      </c>
      <c r="O329" s="246"/>
    </row>
    <row r="330" spans="1:15" x14ac:dyDescent="0.25">
      <c r="A330" s="70" t="s">
        <v>200</v>
      </c>
      <c r="B330" s="71"/>
      <c r="C330" s="60">
        <v>0.94</v>
      </c>
      <c r="D330" s="60">
        <v>2.14</v>
      </c>
      <c r="E330" s="61"/>
      <c r="F330" s="61"/>
      <c r="G330" s="72">
        <v>1</v>
      </c>
      <c r="H330" s="61"/>
      <c r="I330" s="62">
        <f>C330*D330*G330*-1</f>
        <v>-2.0116000000000001</v>
      </c>
      <c r="J330" s="61"/>
      <c r="K330" s="63"/>
      <c r="M330" s="245"/>
      <c r="N330" s="24" t="s">
        <v>41</v>
      </c>
      <c r="O330" s="246"/>
    </row>
    <row r="331" spans="1:15" x14ac:dyDescent="0.25">
      <c r="A331" s="90" t="s">
        <v>28</v>
      </c>
      <c r="B331" s="56"/>
      <c r="C331" s="65">
        <f>1.118+0.867</f>
        <v>1.9850000000000001</v>
      </c>
      <c r="D331" s="57">
        <v>2.2250000000000001</v>
      </c>
      <c r="E331" s="57"/>
      <c r="F331" s="57"/>
      <c r="G331" s="58"/>
      <c r="H331" s="57"/>
      <c r="I331" s="57">
        <f>C331*D331</f>
        <v>4.4166250000000007</v>
      </c>
      <c r="J331" s="65"/>
      <c r="K331" s="59"/>
      <c r="M331" s="245"/>
      <c r="N331" s="24" t="s">
        <v>41</v>
      </c>
      <c r="O331" s="246"/>
    </row>
    <row r="332" spans="1:15" x14ac:dyDescent="0.25">
      <c r="A332" s="90" t="s">
        <v>203</v>
      </c>
      <c r="B332" s="56"/>
      <c r="C332" s="65">
        <v>1.9849999999999999</v>
      </c>
      <c r="D332" s="57">
        <v>0.18</v>
      </c>
      <c r="E332" s="57"/>
      <c r="F332" s="57"/>
      <c r="G332" s="58"/>
      <c r="H332" s="57"/>
      <c r="I332" s="57">
        <f>C332*D332</f>
        <v>0.35729999999999995</v>
      </c>
      <c r="J332" s="65"/>
      <c r="K332" s="59"/>
      <c r="M332" s="245"/>
      <c r="N332" s="24" t="s">
        <v>41</v>
      </c>
      <c r="O332" s="246"/>
    </row>
    <row r="333" spans="1:15" x14ac:dyDescent="0.25">
      <c r="A333" s="90" t="s">
        <v>204</v>
      </c>
      <c r="B333" s="56"/>
      <c r="C333" s="57">
        <f>0.281+0.564</f>
        <v>0.84499999999999997</v>
      </c>
      <c r="D333" s="57">
        <v>0.18</v>
      </c>
      <c r="E333" s="57"/>
      <c r="F333" s="57"/>
      <c r="G333" s="73">
        <v>2</v>
      </c>
      <c r="H333" s="57"/>
      <c r="I333" s="57">
        <f>C333*D333*G333</f>
        <v>0.30419999999999997</v>
      </c>
      <c r="J333" s="65"/>
      <c r="K333" s="59"/>
      <c r="M333" s="245"/>
      <c r="N333" s="24" t="s">
        <v>41</v>
      </c>
      <c r="O333" s="246"/>
    </row>
    <row r="334" spans="1:15" x14ac:dyDescent="0.25">
      <c r="A334" s="90" t="s">
        <v>18</v>
      </c>
      <c r="B334" s="56"/>
      <c r="C334" s="65">
        <f>4.268+0.17+1.095</f>
        <v>5.5329999999999995</v>
      </c>
      <c r="D334" s="57">
        <v>2.9990000000000001</v>
      </c>
      <c r="E334" s="57"/>
      <c r="F334" s="57"/>
      <c r="G334" s="58"/>
      <c r="H334" s="57"/>
      <c r="I334" s="57">
        <f>C334*D334</f>
        <v>16.593467</v>
      </c>
      <c r="J334" s="65"/>
      <c r="K334" s="59"/>
      <c r="M334" s="245"/>
      <c r="N334" s="24" t="s">
        <v>41</v>
      </c>
      <c r="O334" s="246"/>
    </row>
    <row r="335" spans="1:15" x14ac:dyDescent="0.25">
      <c r="A335" s="90" t="s">
        <v>19</v>
      </c>
      <c r="B335" s="56"/>
      <c r="C335" s="65">
        <f>4.268+0.17+1.095</f>
        <v>5.5329999999999995</v>
      </c>
      <c r="D335" s="57">
        <v>2.9990000000000001</v>
      </c>
      <c r="E335" s="57"/>
      <c r="F335" s="57"/>
      <c r="G335" s="73"/>
      <c r="H335" s="57"/>
      <c r="I335" s="57">
        <f>C335*D335</f>
        <v>16.593467</v>
      </c>
      <c r="J335" s="65"/>
      <c r="K335" s="59"/>
      <c r="M335" s="245"/>
      <c r="N335" s="24" t="s">
        <v>41</v>
      </c>
      <c r="O335" s="246"/>
    </row>
    <row r="336" spans="1:15" x14ac:dyDescent="0.25">
      <c r="A336" s="90" t="s">
        <v>201</v>
      </c>
      <c r="B336" s="56"/>
      <c r="C336" s="57">
        <v>0.98499999999999999</v>
      </c>
      <c r="D336" s="57">
        <v>0.16</v>
      </c>
      <c r="E336" s="57"/>
      <c r="F336" s="57">
        <v>1.81</v>
      </c>
      <c r="G336" s="58"/>
      <c r="H336" s="57">
        <f>C336+D336+C336</f>
        <v>2.13</v>
      </c>
      <c r="I336" s="57">
        <f>H336*F336</f>
        <v>3.8552999999999997</v>
      </c>
      <c r="J336" s="65"/>
      <c r="K336" s="59"/>
      <c r="M336" s="245"/>
      <c r="N336" s="24" t="s">
        <v>41</v>
      </c>
      <c r="O336" s="246"/>
    </row>
    <row r="337" spans="1:15" x14ac:dyDescent="0.25">
      <c r="A337" s="90" t="s">
        <v>202</v>
      </c>
      <c r="B337" s="56"/>
      <c r="C337" s="57">
        <v>0.98499999999999999</v>
      </c>
      <c r="D337" s="57">
        <v>0.16</v>
      </c>
      <c r="E337" s="57"/>
      <c r="F337" s="57"/>
      <c r="G337" s="58"/>
      <c r="H337" s="57"/>
      <c r="I337" s="57">
        <f>C337*D337</f>
        <v>0.15759999999999999</v>
      </c>
      <c r="J337" s="65"/>
      <c r="K337" s="59"/>
      <c r="M337" s="245"/>
      <c r="N337" s="24"/>
      <c r="O337" s="246"/>
    </row>
    <row r="338" spans="1:15" x14ac:dyDescent="0.25">
      <c r="A338" s="111" t="s">
        <v>88</v>
      </c>
      <c r="B338" s="92" t="s">
        <v>37</v>
      </c>
      <c r="C338" s="52"/>
      <c r="D338" s="52"/>
      <c r="E338" s="52"/>
      <c r="F338" s="52"/>
      <c r="G338" s="53"/>
      <c r="H338" s="54">
        <f>SUM(H339:H366)</f>
        <v>89.639999999999986</v>
      </c>
      <c r="I338" s="64"/>
      <c r="J338" s="64"/>
      <c r="K338" s="1"/>
      <c r="M338" s="256">
        <f>O353</f>
        <v>89.640000000000015</v>
      </c>
      <c r="N338" s="12">
        <f>M338-H338</f>
        <v>0</v>
      </c>
      <c r="O338" s="248">
        <f>N338/M338</f>
        <v>0</v>
      </c>
    </row>
    <row r="339" spans="1:15" x14ac:dyDescent="0.25">
      <c r="A339" s="89" t="s">
        <v>192</v>
      </c>
      <c r="B339" s="66"/>
      <c r="C339" s="67"/>
      <c r="D339" s="67"/>
      <c r="E339" s="67"/>
      <c r="F339" s="67"/>
      <c r="G339" s="58"/>
      <c r="H339" s="67"/>
      <c r="I339" s="57"/>
      <c r="J339" s="65"/>
      <c r="K339" s="59"/>
      <c r="M339" s="245"/>
      <c r="N339" s="24" t="s">
        <v>41</v>
      </c>
      <c r="O339" s="246"/>
    </row>
    <row r="340" spans="1:15" x14ac:dyDescent="0.25">
      <c r="A340" s="90" t="s">
        <v>201</v>
      </c>
      <c r="B340" s="56"/>
      <c r="C340" s="57">
        <v>1.8979999999999999</v>
      </c>
      <c r="D340" s="57"/>
      <c r="E340" s="57"/>
      <c r="F340" s="57"/>
      <c r="G340" s="73">
        <v>2</v>
      </c>
      <c r="H340" s="57">
        <f t="shared" ref="H340:H346" si="13">G340*C340</f>
        <v>3.7959999999999998</v>
      </c>
      <c r="I340" s="57"/>
      <c r="J340" s="65"/>
      <c r="K340" s="59"/>
      <c r="M340" s="257">
        <v>2</v>
      </c>
      <c r="N340" s="3">
        <v>16.2</v>
      </c>
      <c r="O340" s="258">
        <f t="shared" ref="O340:O345" si="14">N340*M340/100</f>
        <v>0.32400000000000001</v>
      </c>
    </row>
    <row r="341" spans="1:15" x14ac:dyDescent="0.25">
      <c r="A341" s="90" t="s">
        <v>205</v>
      </c>
      <c r="B341" s="56"/>
      <c r="C341" s="57">
        <v>1.71</v>
      </c>
      <c r="D341" s="57"/>
      <c r="E341" s="57"/>
      <c r="F341" s="57"/>
      <c r="G341" s="73">
        <v>2</v>
      </c>
      <c r="H341" s="57">
        <f t="shared" si="13"/>
        <v>3.42</v>
      </c>
      <c r="I341" s="57"/>
      <c r="J341" s="65"/>
      <c r="K341" s="59"/>
      <c r="M341" s="257">
        <v>2</v>
      </c>
      <c r="N341" s="3">
        <v>17.2</v>
      </c>
      <c r="O341" s="258">
        <f t="shared" si="14"/>
        <v>0.34399999999999997</v>
      </c>
    </row>
    <row r="342" spans="1:15" x14ac:dyDescent="0.25">
      <c r="A342" s="90" t="s">
        <v>206</v>
      </c>
      <c r="B342" s="56"/>
      <c r="C342" s="57">
        <v>0.17199999999999999</v>
      </c>
      <c r="D342" s="57"/>
      <c r="E342" s="57"/>
      <c r="F342" s="57"/>
      <c r="G342" s="73">
        <v>1</v>
      </c>
      <c r="H342" s="57">
        <f t="shared" si="13"/>
        <v>0.17199999999999999</v>
      </c>
      <c r="I342" s="57"/>
      <c r="J342" s="65"/>
      <c r="K342" s="59"/>
      <c r="M342" s="257">
        <v>8</v>
      </c>
      <c r="N342" s="3">
        <v>90</v>
      </c>
      <c r="O342" s="258">
        <f t="shared" si="14"/>
        <v>7.2</v>
      </c>
    </row>
    <row r="343" spans="1:15" x14ac:dyDescent="0.25">
      <c r="A343" s="90" t="s">
        <v>207</v>
      </c>
      <c r="B343" s="56"/>
      <c r="C343" s="57">
        <v>1.8</v>
      </c>
      <c r="D343" s="57"/>
      <c r="E343" s="57"/>
      <c r="F343" s="57"/>
      <c r="G343" s="73">
        <v>4</v>
      </c>
      <c r="H343" s="57">
        <f t="shared" si="13"/>
        <v>7.2</v>
      </c>
      <c r="I343" s="57"/>
      <c r="J343" s="65"/>
      <c r="K343" s="59"/>
      <c r="M343" s="257">
        <v>2</v>
      </c>
      <c r="N343" s="3">
        <v>98.6</v>
      </c>
      <c r="O343" s="258">
        <f t="shared" si="14"/>
        <v>1.972</v>
      </c>
    </row>
    <row r="344" spans="1:15" x14ac:dyDescent="0.25">
      <c r="A344" s="90" t="s">
        <v>207</v>
      </c>
      <c r="B344" s="56"/>
      <c r="C344" s="57">
        <v>1.65</v>
      </c>
      <c r="D344" s="57"/>
      <c r="E344" s="57"/>
      <c r="F344" s="57"/>
      <c r="G344" s="73">
        <v>4</v>
      </c>
      <c r="H344" s="57">
        <f t="shared" si="13"/>
        <v>6.6</v>
      </c>
      <c r="I344" s="57"/>
      <c r="J344" s="65"/>
      <c r="K344" s="59"/>
      <c r="M344" s="257">
        <v>2</v>
      </c>
      <c r="N344" s="3">
        <v>111.9</v>
      </c>
      <c r="O344" s="258">
        <f t="shared" si="14"/>
        <v>2.238</v>
      </c>
    </row>
    <row r="345" spans="1:15" x14ac:dyDescent="0.25">
      <c r="A345" s="90" t="s">
        <v>208</v>
      </c>
      <c r="B345" s="56"/>
      <c r="C345" s="57">
        <v>0.9</v>
      </c>
      <c r="D345" s="57"/>
      <c r="E345" s="57"/>
      <c r="F345" s="57"/>
      <c r="G345" s="73">
        <v>4</v>
      </c>
      <c r="H345" s="57">
        <f t="shared" si="13"/>
        <v>3.6</v>
      </c>
      <c r="I345" s="57"/>
      <c r="J345" s="65"/>
      <c r="K345" s="59"/>
      <c r="M345" s="257">
        <v>6</v>
      </c>
      <c r="N345" s="3">
        <v>165</v>
      </c>
      <c r="O345" s="258">
        <f t="shared" si="14"/>
        <v>9.9</v>
      </c>
    </row>
    <row r="346" spans="1:15" x14ac:dyDescent="0.25">
      <c r="A346" s="90" t="s">
        <v>45</v>
      </c>
      <c r="B346" s="56"/>
      <c r="C346" s="57">
        <v>2.9649999999999999</v>
      </c>
      <c r="D346" s="57"/>
      <c r="E346" s="57"/>
      <c r="F346" s="57"/>
      <c r="G346" s="73">
        <v>1</v>
      </c>
      <c r="H346" s="57">
        <f t="shared" si="13"/>
        <v>2.9649999999999999</v>
      </c>
      <c r="I346" s="57"/>
      <c r="J346" s="65"/>
      <c r="K346" s="59"/>
      <c r="M346" s="257">
        <v>2</v>
      </c>
      <c r="N346" s="3">
        <v>171</v>
      </c>
      <c r="O346" s="258">
        <f t="shared" ref="O346:O352" si="15">N346*M346/100</f>
        <v>3.42</v>
      </c>
    </row>
    <row r="347" spans="1:15" x14ac:dyDescent="0.25">
      <c r="A347" s="89" t="s">
        <v>193</v>
      </c>
      <c r="B347" s="66"/>
      <c r="C347" s="67"/>
      <c r="D347" s="67"/>
      <c r="E347" s="67"/>
      <c r="F347" s="67"/>
      <c r="G347" s="58"/>
      <c r="H347" s="67"/>
      <c r="I347" s="57"/>
      <c r="J347" s="65"/>
      <c r="K347" s="59"/>
      <c r="M347" s="257">
        <v>2</v>
      </c>
      <c r="N347" s="3">
        <v>176.6</v>
      </c>
      <c r="O347" s="258">
        <f t="shared" si="15"/>
        <v>3.532</v>
      </c>
    </row>
    <row r="348" spans="1:15" x14ac:dyDescent="0.25">
      <c r="A348" s="90" t="s">
        <v>201</v>
      </c>
      <c r="B348" s="56"/>
      <c r="C348" s="57">
        <v>1.907</v>
      </c>
      <c r="D348" s="57"/>
      <c r="E348" s="57"/>
      <c r="F348" s="57"/>
      <c r="G348" s="73">
        <v>2</v>
      </c>
      <c r="H348" s="57">
        <f t="shared" ref="H348:H353" si="16">G348*C348</f>
        <v>3.8140000000000001</v>
      </c>
      <c r="I348" s="57"/>
      <c r="J348" s="65"/>
      <c r="K348" s="59"/>
      <c r="M348" s="257">
        <v>24</v>
      </c>
      <c r="N348" s="3">
        <v>180</v>
      </c>
      <c r="O348" s="258">
        <f t="shared" si="15"/>
        <v>43.2</v>
      </c>
    </row>
    <row r="349" spans="1:15" x14ac:dyDescent="0.25">
      <c r="A349" s="90" t="s">
        <v>205</v>
      </c>
      <c r="B349" s="56"/>
      <c r="C349" s="57">
        <v>1.119</v>
      </c>
      <c r="D349" s="57"/>
      <c r="E349" s="57"/>
      <c r="F349" s="57"/>
      <c r="G349" s="73">
        <v>2</v>
      </c>
      <c r="H349" s="57">
        <f t="shared" si="16"/>
        <v>2.238</v>
      </c>
      <c r="I349" s="57"/>
      <c r="J349" s="65"/>
      <c r="K349" s="59"/>
      <c r="M349" s="257">
        <v>2</v>
      </c>
      <c r="N349" s="3">
        <v>189.8</v>
      </c>
      <c r="O349" s="258">
        <f t="shared" si="15"/>
        <v>3.7960000000000003</v>
      </c>
    </row>
    <row r="350" spans="1:15" x14ac:dyDescent="0.25">
      <c r="A350" s="90" t="s">
        <v>206</v>
      </c>
      <c r="B350" s="56"/>
      <c r="C350" s="57">
        <v>0.17199999999999999</v>
      </c>
      <c r="D350" s="57"/>
      <c r="E350" s="57"/>
      <c r="F350" s="57"/>
      <c r="G350" s="73">
        <v>1</v>
      </c>
      <c r="H350" s="57">
        <f t="shared" si="16"/>
        <v>0.17199999999999999</v>
      </c>
      <c r="I350" s="57"/>
      <c r="J350" s="65"/>
      <c r="K350" s="59"/>
      <c r="M350" s="257">
        <v>2</v>
      </c>
      <c r="N350" s="3">
        <v>190.7</v>
      </c>
      <c r="O350" s="258">
        <f t="shared" si="15"/>
        <v>3.8139999999999996</v>
      </c>
    </row>
    <row r="351" spans="1:15" x14ac:dyDescent="0.25">
      <c r="A351" s="90" t="s">
        <v>207</v>
      </c>
      <c r="B351" s="56"/>
      <c r="C351" s="57">
        <v>1.65</v>
      </c>
      <c r="D351" s="57"/>
      <c r="E351" s="57"/>
      <c r="F351" s="57"/>
      <c r="G351" s="73">
        <v>2</v>
      </c>
      <c r="H351" s="57">
        <f t="shared" si="16"/>
        <v>3.3</v>
      </c>
      <c r="I351" s="57"/>
      <c r="J351" s="65"/>
      <c r="K351" s="59"/>
      <c r="M351" s="257">
        <v>2</v>
      </c>
      <c r="N351" s="3">
        <v>198.5</v>
      </c>
      <c r="O351" s="258">
        <f t="shared" si="15"/>
        <v>3.97</v>
      </c>
    </row>
    <row r="352" spans="1:15" x14ac:dyDescent="0.25">
      <c r="A352" s="90" t="s">
        <v>207</v>
      </c>
      <c r="B352" s="56"/>
      <c r="C352" s="57">
        <v>1.8</v>
      </c>
      <c r="D352" s="57"/>
      <c r="E352" s="57"/>
      <c r="F352" s="57"/>
      <c r="G352" s="73">
        <v>4</v>
      </c>
      <c r="H352" s="57">
        <f t="shared" si="16"/>
        <v>7.2</v>
      </c>
      <c r="I352" s="57"/>
      <c r="J352" s="65"/>
      <c r="K352" s="59"/>
      <c r="M352" s="257">
        <v>2</v>
      </c>
      <c r="N352" s="3">
        <v>296.5</v>
      </c>
      <c r="O352" s="258">
        <f t="shared" si="15"/>
        <v>5.93</v>
      </c>
    </row>
    <row r="353" spans="1:15" x14ac:dyDescent="0.25">
      <c r="A353" s="90" t="s">
        <v>45</v>
      </c>
      <c r="B353" s="56"/>
      <c r="C353" s="57">
        <v>1.9850000000000001</v>
      </c>
      <c r="D353" s="57"/>
      <c r="E353" s="57"/>
      <c r="F353" s="57"/>
      <c r="G353" s="73">
        <v>1</v>
      </c>
      <c r="H353" s="57">
        <f t="shared" si="16"/>
        <v>1.9850000000000001</v>
      </c>
      <c r="I353" s="57"/>
      <c r="J353" s="65"/>
      <c r="K353" s="59"/>
      <c r="M353" s="356">
        <f>SUM(M340:M352)</f>
        <v>58</v>
      </c>
      <c r="N353" s="24" t="s">
        <v>41</v>
      </c>
      <c r="O353" s="261">
        <f>SUM(O340:O352)</f>
        <v>89.640000000000015</v>
      </c>
    </row>
    <row r="354" spans="1:15" x14ac:dyDescent="0.25">
      <c r="A354" s="89" t="s">
        <v>194</v>
      </c>
      <c r="B354" s="66"/>
      <c r="C354" s="67"/>
      <c r="D354" s="67"/>
      <c r="E354" s="67"/>
      <c r="F354" s="67"/>
      <c r="G354" s="58"/>
      <c r="H354" s="67"/>
      <c r="I354" s="57"/>
      <c r="J354" s="65"/>
      <c r="K354" s="59"/>
      <c r="M354" s="245"/>
      <c r="N354" s="24" t="s">
        <v>41</v>
      </c>
      <c r="O354" s="246"/>
    </row>
    <row r="355" spans="1:15" x14ac:dyDescent="0.25">
      <c r="A355" s="90" t="s">
        <v>201</v>
      </c>
      <c r="B355" s="56"/>
      <c r="C355" s="57">
        <v>1.8</v>
      </c>
      <c r="D355" s="57"/>
      <c r="E355" s="57"/>
      <c r="F355" s="57"/>
      <c r="G355" s="73">
        <v>2</v>
      </c>
      <c r="H355" s="57">
        <f t="shared" ref="H355:H360" si="17">G355*C355</f>
        <v>3.6</v>
      </c>
      <c r="I355" s="57"/>
      <c r="J355" s="65"/>
      <c r="K355" s="59"/>
      <c r="M355" s="245"/>
      <c r="N355" s="24" t="s">
        <v>41</v>
      </c>
      <c r="O355" s="246"/>
    </row>
    <row r="356" spans="1:15" x14ac:dyDescent="0.25">
      <c r="A356" s="90" t="s">
        <v>205</v>
      </c>
      <c r="B356" s="56"/>
      <c r="C356" s="57">
        <v>1.766</v>
      </c>
      <c r="D356" s="57"/>
      <c r="E356" s="57"/>
      <c r="F356" s="57"/>
      <c r="G356" s="73">
        <v>2</v>
      </c>
      <c r="H356" s="57">
        <f t="shared" si="17"/>
        <v>3.532</v>
      </c>
      <c r="I356" s="57"/>
      <c r="J356" s="65"/>
      <c r="K356" s="59"/>
      <c r="M356" s="245"/>
      <c r="N356" s="24" t="s">
        <v>41</v>
      </c>
      <c r="O356" s="246"/>
    </row>
    <row r="357" spans="1:15" x14ac:dyDescent="0.25">
      <c r="A357" s="90" t="s">
        <v>206</v>
      </c>
      <c r="B357" s="56"/>
      <c r="C357" s="57">
        <v>0.16200000000000001</v>
      </c>
      <c r="D357" s="57"/>
      <c r="E357" s="57"/>
      <c r="F357" s="57"/>
      <c r="G357" s="73">
        <v>1</v>
      </c>
      <c r="H357" s="57">
        <f t="shared" si="17"/>
        <v>0.16200000000000001</v>
      </c>
      <c r="I357" s="57"/>
      <c r="J357" s="65"/>
      <c r="K357" s="59"/>
      <c r="M357" s="245"/>
      <c r="N357" s="24" t="s">
        <v>41</v>
      </c>
      <c r="O357" s="246"/>
    </row>
    <row r="358" spans="1:15" x14ac:dyDescent="0.25">
      <c r="A358" s="90" t="s">
        <v>207</v>
      </c>
      <c r="B358" s="56"/>
      <c r="C358" s="57">
        <v>1.8</v>
      </c>
      <c r="D358" s="57"/>
      <c r="E358" s="57"/>
      <c r="F358" s="57"/>
      <c r="G358" s="73">
        <v>6</v>
      </c>
      <c r="H358" s="57">
        <f t="shared" si="17"/>
        <v>10.8</v>
      </c>
      <c r="I358" s="57"/>
      <c r="J358" s="65"/>
      <c r="K358" s="59"/>
      <c r="M358" s="245"/>
      <c r="N358" s="24" t="s">
        <v>41</v>
      </c>
      <c r="O358" s="246"/>
    </row>
    <row r="359" spans="1:15" x14ac:dyDescent="0.25">
      <c r="A359" s="90" t="s">
        <v>208</v>
      </c>
      <c r="B359" s="56"/>
      <c r="C359" s="57">
        <v>0.9</v>
      </c>
      <c r="D359" s="57"/>
      <c r="E359" s="57"/>
      <c r="F359" s="57"/>
      <c r="G359" s="73">
        <v>4</v>
      </c>
      <c r="H359" s="57">
        <f t="shared" si="17"/>
        <v>3.6</v>
      </c>
      <c r="I359" s="57"/>
      <c r="J359" s="65"/>
      <c r="K359" s="59"/>
      <c r="M359" s="245"/>
      <c r="N359" s="24" t="s">
        <v>41</v>
      </c>
      <c r="O359" s="246"/>
    </row>
    <row r="360" spans="1:15" x14ac:dyDescent="0.25">
      <c r="A360" s="90" t="s">
        <v>45</v>
      </c>
      <c r="B360" s="56"/>
      <c r="C360" s="57">
        <v>2.9649999999999999</v>
      </c>
      <c r="D360" s="57"/>
      <c r="E360" s="57"/>
      <c r="F360" s="57"/>
      <c r="G360" s="73">
        <v>1</v>
      </c>
      <c r="H360" s="57">
        <f t="shared" si="17"/>
        <v>2.9649999999999999</v>
      </c>
      <c r="I360" s="57"/>
      <c r="J360" s="65"/>
      <c r="K360" s="59"/>
      <c r="M360" s="257"/>
      <c r="N360" s="3"/>
      <c r="O360" s="258"/>
    </row>
    <row r="361" spans="1:15" x14ac:dyDescent="0.25">
      <c r="A361" s="89" t="s">
        <v>193</v>
      </c>
      <c r="B361" s="66"/>
      <c r="C361" s="67"/>
      <c r="D361" s="67"/>
      <c r="E361" s="67"/>
      <c r="F361" s="67"/>
      <c r="G361" s="58"/>
      <c r="H361" s="67"/>
      <c r="I361" s="57"/>
      <c r="J361" s="65"/>
      <c r="K361" s="59"/>
      <c r="M361" s="245"/>
      <c r="N361" s="24" t="s">
        <v>41</v>
      </c>
      <c r="O361" s="246"/>
    </row>
    <row r="362" spans="1:15" x14ac:dyDescent="0.25">
      <c r="A362" s="90" t="s">
        <v>201</v>
      </c>
      <c r="B362" s="56"/>
      <c r="C362" s="57">
        <v>1.8</v>
      </c>
      <c r="D362" s="57"/>
      <c r="E362" s="57"/>
      <c r="F362" s="57"/>
      <c r="G362" s="73">
        <v>2</v>
      </c>
      <c r="H362" s="57">
        <f>G362*C362</f>
        <v>3.6</v>
      </c>
      <c r="I362" s="57"/>
      <c r="J362" s="65"/>
      <c r="K362" s="59"/>
      <c r="M362" s="245"/>
      <c r="N362" s="24" t="s">
        <v>41</v>
      </c>
      <c r="O362" s="246"/>
    </row>
    <row r="363" spans="1:15" x14ac:dyDescent="0.25">
      <c r="A363" s="90" t="s">
        <v>205</v>
      </c>
      <c r="B363" s="56"/>
      <c r="C363" s="57">
        <v>0.98599999999999999</v>
      </c>
      <c r="D363" s="57"/>
      <c r="E363" s="57"/>
      <c r="F363" s="57"/>
      <c r="G363" s="73">
        <v>2</v>
      </c>
      <c r="H363" s="57">
        <f>G363*C363</f>
        <v>1.972</v>
      </c>
      <c r="I363" s="57"/>
      <c r="J363" s="65"/>
      <c r="K363" s="59"/>
      <c r="M363" s="245"/>
      <c r="N363" s="24" t="s">
        <v>41</v>
      </c>
      <c r="O363" s="246"/>
    </row>
    <row r="364" spans="1:15" x14ac:dyDescent="0.25">
      <c r="A364" s="90" t="s">
        <v>206</v>
      </c>
      <c r="B364" s="56"/>
      <c r="C364" s="57">
        <v>0.16200000000000001</v>
      </c>
      <c r="D364" s="57"/>
      <c r="E364" s="57"/>
      <c r="F364" s="57"/>
      <c r="G364" s="73">
        <v>1</v>
      </c>
      <c r="H364" s="57">
        <f>G364*C364</f>
        <v>0.16200000000000001</v>
      </c>
      <c r="I364" s="57"/>
      <c r="J364" s="65"/>
      <c r="K364" s="59"/>
      <c r="M364" s="245"/>
      <c r="N364" s="24" t="s">
        <v>41</v>
      </c>
      <c r="O364" s="246"/>
    </row>
    <row r="365" spans="1:15" x14ac:dyDescent="0.25">
      <c r="A365" s="90" t="s">
        <v>207</v>
      </c>
      <c r="B365" s="56"/>
      <c r="C365" s="57">
        <v>1.8</v>
      </c>
      <c r="D365" s="57"/>
      <c r="E365" s="57"/>
      <c r="F365" s="57"/>
      <c r="G365" s="73">
        <v>6</v>
      </c>
      <c r="H365" s="57">
        <f>G365*C365</f>
        <v>10.8</v>
      </c>
      <c r="I365" s="57"/>
      <c r="J365" s="65"/>
      <c r="K365" s="59"/>
      <c r="M365" s="245"/>
      <c r="N365" s="24" t="s">
        <v>41</v>
      </c>
      <c r="O365" s="246"/>
    </row>
    <row r="366" spans="1:15" ht="15.75" thickBot="1" x14ac:dyDescent="0.3">
      <c r="A366" s="357" t="s">
        <v>45</v>
      </c>
      <c r="B366" s="76"/>
      <c r="C366" s="77">
        <v>1.9850000000000001</v>
      </c>
      <c r="D366" s="77"/>
      <c r="E366" s="77"/>
      <c r="F366" s="77"/>
      <c r="G366" s="79">
        <v>1</v>
      </c>
      <c r="H366" s="77">
        <f>G366*C366</f>
        <v>1.9850000000000001</v>
      </c>
      <c r="I366" s="77"/>
      <c r="J366" s="80"/>
      <c r="K366" s="81"/>
      <c r="M366" s="358"/>
      <c r="N366" s="138"/>
      <c r="O366" s="359"/>
    </row>
    <row r="367" spans="1:15" ht="15.75" thickBot="1" x14ac:dyDescent="0.3"/>
    <row r="368" spans="1:15" ht="15.75" thickBot="1" x14ac:dyDescent="0.3">
      <c r="A368" s="46" t="s">
        <v>62</v>
      </c>
      <c r="B368" s="47"/>
      <c r="C368" s="48" t="s">
        <v>2</v>
      </c>
      <c r="D368" s="48" t="s">
        <v>3</v>
      </c>
      <c r="E368" s="48" t="s">
        <v>4</v>
      </c>
      <c r="F368" s="48" t="s">
        <v>5</v>
      </c>
      <c r="G368" s="49" t="s">
        <v>1</v>
      </c>
      <c r="H368" s="48" t="s">
        <v>6</v>
      </c>
      <c r="I368" s="48" t="s">
        <v>7</v>
      </c>
      <c r="J368" s="48" t="s">
        <v>8</v>
      </c>
      <c r="K368" s="50" t="s">
        <v>9</v>
      </c>
    </row>
    <row r="369" spans="1:15" ht="25.5" x14ac:dyDescent="0.25">
      <c r="A369" s="82" t="s">
        <v>308</v>
      </c>
      <c r="B369" s="83" t="s">
        <v>37</v>
      </c>
      <c r="C369" s="84"/>
      <c r="D369" s="84"/>
      <c r="E369" s="84"/>
      <c r="F369" s="84"/>
      <c r="G369" s="85"/>
      <c r="H369" s="84"/>
      <c r="I369" s="86">
        <f>SUM(I370:I377)</f>
        <v>53.866009999999996</v>
      </c>
      <c r="J369" s="84"/>
      <c r="K369" s="88"/>
      <c r="M369" s="254">
        <v>54.58</v>
      </c>
      <c r="N369" s="255">
        <f>M369-I369</f>
        <v>0.71399000000000257</v>
      </c>
      <c r="O369" s="244">
        <f>N369/M369</f>
        <v>1.3081531696592206E-2</v>
      </c>
    </row>
    <row r="370" spans="1:15" x14ac:dyDescent="0.25">
      <c r="A370" s="55" t="s">
        <v>192</v>
      </c>
      <c r="B370" s="56"/>
      <c r="C370" s="65">
        <f>4.276+0.17+1.087</f>
        <v>5.5329999999999995</v>
      </c>
      <c r="D370" s="65">
        <f>1.256+1.709</f>
        <v>2.9649999999999999</v>
      </c>
      <c r="E370" s="57"/>
      <c r="F370" s="57"/>
      <c r="G370" s="58"/>
      <c r="H370" s="57"/>
      <c r="I370" s="57">
        <f>C370*D370</f>
        <v>16.405344999999997</v>
      </c>
      <c r="J370" s="65"/>
      <c r="K370" s="59"/>
      <c r="M370" s="245"/>
      <c r="N370" s="24" t="s">
        <v>41</v>
      </c>
      <c r="O370" s="246"/>
    </row>
    <row r="371" spans="1:15" x14ac:dyDescent="0.25">
      <c r="A371" s="70" t="s">
        <v>199</v>
      </c>
      <c r="B371" s="71"/>
      <c r="C371" s="60">
        <v>1.7090000000000001</v>
      </c>
      <c r="D371" s="60">
        <v>0.17</v>
      </c>
      <c r="E371" s="61"/>
      <c r="F371" s="61"/>
      <c r="G371" s="72"/>
      <c r="H371" s="61"/>
      <c r="I371" s="62">
        <f>C371*D371*-1</f>
        <v>-0.29053000000000001</v>
      </c>
      <c r="J371" s="61"/>
      <c r="K371" s="63"/>
      <c r="M371" s="245"/>
      <c r="N371" s="24" t="s">
        <v>41</v>
      </c>
      <c r="O371" s="246"/>
    </row>
    <row r="372" spans="1:15" x14ac:dyDescent="0.25">
      <c r="A372" s="55" t="s">
        <v>193</v>
      </c>
      <c r="B372" s="56"/>
      <c r="C372" s="65">
        <f>4.268+0.17+1.095</f>
        <v>5.5329999999999995</v>
      </c>
      <c r="D372" s="65">
        <f>1.118+0.867</f>
        <v>1.9850000000000001</v>
      </c>
      <c r="E372" s="57"/>
      <c r="F372" s="57"/>
      <c r="G372" s="58"/>
      <c r="H372" s="57"/>
      <c r="I372" s="57">
        <f>C372*D372</f>
        <v>10.983005</v>
      </c>
      <c r="J372" s="65"/>
      <c r="K372" s="59"/>
      <c r="M372" s="245"/>
      <c r="N372" s="24" t="s">
        <v>41</v>
      </c>
      <c r="O372" s="246"/>
    </row>
    <row r="373" spans="1:15" x14ac:dyDescent="0.25">
      <c r="A373" s="70" t="s">
        <v>199</v>
      </c>
      <c r="B373" s="71"/>
      <c r="C373" s="60">
        <v>1.1180000000000001</v>
      </c>
      <c r="D373" s="60">
        <v>0.17</v>
      </c>
      <c r="E373" s="61"/>
      <c r="F373" s="61"/>
      <c r="G373" s="72"/>
      <c r="H373" s="61"/>
      <c r="I373" s="62">
        <f>C373*D373*-1</f>
        <v>-0.19006000000000003</v>
      </c>
      <c r="J373" s="61"/>
      <c r="K373" s="63"/>
      <c r="M373" s="245"/>
      <c r="N373" s="24" t="s">
        <v>41</v>
      </c>
      <c r="O373" s="246"/>
    </row>
    <row r="374" spans="1:15" x14ac:dyDescent="0.25">
      <c r="A374" s="55" t="s">
        <v>194</v>
      </c>
      <c r="B374" s="56"/>
      <c r="C374" s="65">
        <f>4.175+0.16+1.2</f>
        <v>5.5350000000000001</v>
      </c>
      <c r="D374" s="65">
        <v>2.9649999999999999</v>
      </c>
      <c r="E374" s="57"/>
      <c r="F374" s="57"/>
      <c r="G374" s="58"/>
      <c r="H374" s="57"/>
      <c r="I374" s="57">
        <f>C374*D374</f>
        <v>16.411275</v>
      </c>
      <c r="J374" s="65"/>
      <c r="K374" s="59"/>
      <c r="M374" s="245"/>
      <c r="N374" s="24" t="s">
        <v>41</v>
      </c>
      <c r="O374" s="246"/>
    </row>
    <row r="375" spans="1:15" x14ac:dyDescent="0.25">
      <c r="A375" s="70" t="s">
        <v>199</v>
      </c>
      <c r="B375" s="71"/>
      <c r="C375" s="60">
        <v>1.7649999999999999</v>
      </c>
      <c r="D375" s="60">
        <v>0.16</v>
      </c>
      <c r="E375" s="61"/>
      <c r="F375" s="61"/>
      <c r="G375" s="72"/>
      <c r="H375" s="61"/>
      <c r="I375" s="62">
        <f>C375*D375*-1</f>
        <v>-0.28239999999999998</v>
      </c>
      <c r="J375" s="61"/>
      <c r="K375" s="63"/>
      <c r="M375" s="245"/>
      <c r="N375" s="24" t="s">
        <v>41</v>
      </c>
      <c r="O375" s="246"/>
    </row>
    <row r="376" spans="1:15" x14ac:dyDescent="0.25">
      <c r="A376" s="55" t="s">
        <v>195</v>
      </c>
      <c r="B376" s="56"/>
      <c r="C376" s="65">
        <f>4.175+0.16+1.2</f>
        <v>5.5350000000000001</v>
      </c>
      <c r="D376" s="65">
        <f>1+0.985</f>
        <v>1.9849999999999999</v>
      </c>
      <c r="E376" s="57"/>
      <c r="F376" s="57"/>
      <c r="G376" s="58"/>
      <c r="H376" s="57"/>
      <c r="I376" s="57">
        <f>C376*D376</f>
        <v>10.986974999999999</v>
      </c>
      <c r="J376" s="65"/>
      <c r="K376" s="59"/>
      <c r="M376" s="245"/>
      <c r="N376" s="24" t="s">
        <v>41</v>
      </c>
      <c r="O376" s="246"/>
    </row>
    <row r="377" spans="1:15" ht="15.75" thickBot="1" x14ac:dyDescent="0.3">
      <c r="A377" s="93" t="s">
        <v>199</v>
      </c>
      <c r="B377" s="94"/>
      <c r="C377" s="95">
        <v>0.98499999999999999</v>
      </c>
      <c r="D377" s="95">
        <v>0.16</v>
      </c>
      <c r="E377" s="96"/>
      <c r="F377" s="96"/>
      <c r="G377" s="97"/>
      <c r="H377" s="96"/>
      <c r="I377" s="98">
        <f>C377*D377*-1</f>
        <v>-0.15759999999999999</v>
      </c>
      <c r="J377" s="96"/>
      <c r="K377" s="99"/>
      <c r="M377" s="249"/>
      <c r="N377" s="250" t="s">
        <v>41</v>
      </c>
      <c r="O377" s="251"/>
    </row>
    <row r="378" spans="1:15" ht="15.75" thickBot="1" x14ac:dyDescent="0.3"/>
    <row r="379" spans="1:15" ht="15.75" thickBot="1" x14ac:dyDescent="0.3">
      <c r="A379" s="46" t="s">
        <v>68</v>
      </c>
      <c r="B379" s="47"/>
      <c r="C379" s="48" t="s">
        <v>2</v>
      </c>
      <c r="D379" s="48" t="s">
        <v>3</v>
      </c>
      <c r="E379" s="48" t="s">
        <v>66</v>
      </c>
      <c r="F379" s="48"/>
      <c r="G379" s="49" t="s">
        <v>1</v>
      </c>
      <c r="H379" s="48" t="s">
        <v>6</v>
      </c>
      <c r="I379" s="48" t="s">
        <v>7</v>
      </c>
      <c r="J379" s="48" t="s">
        <v>8</v>
      </c>
      <c r="K379" s="50" t="s">
        <v>9</v>
      </c>
    </row>
    <row r="380" spans="1:15" ht="25.5" x14ac:dyDescent="0.25">
      <c r="A380" s="91" t="s">
        <v>61</v>
      </c>
      <c r="B380" s="107" t="s">
        <v>10</v>
      </c>
      <c r="C380" s="52"/>
      <c r="D380" s="52"/>
      <c r="E380" s="52"/>
      <c r="F380" s="52"/>
      <c r="G380" s="53"/>
      <c r="H380" s="52"/>
      <c r="I380" s="54">
        <f>I381</f>
        <v>10.148339400000001</v>
      </c>
      <c r="J380" s="64"/>
      <c r="K380" s="1"/>
      <c r="M380" s="254">
        <f>5%*M297</f>
        <v>10.267000000000001</v>
      </c>
      <c r="N380" s="255">
        <f>M380-I380</f>
        <v>0.11866060000000012</v>
      </c>
      <c r="O380" s="244">
        <f>N380/M380</f>
        <v>1.1557475406642651E-2</v>
      </c>
    </row>
    <row r="381" spans="1:15" x14ac:dyDescent="0.25">
      <c r="A381" s="115">
        <v>0.05</v>
      </c>
      <c r="B381" s="116"/>
      <c r="C381" s="57"/>
      <c r="D381" s="57"/>
      <c r="E381" s="57"/>
      <c r="F381" s="57"/>
      <c r="G381" s="58"/>
      <c r="H381" s="57"/>
      <c r="I381" s="57">
        <f>A381*I297</f>
        <v>10.148339400000001</v>
      </c>
      <c r="J381" s="65"/>
      <c r="K381" s="59"/>
      <c r="M381" s="245"/>
      <c r="N381" s="24" t="s">
        <v>41</v>
      </c>
      <c r="O381" s="246"/>
    </row>
    <row r="382" spans="1:15" ht="25.5" x14ac:dyDescent="0.25">
      <c r="A382" s="91" t="s">
        <v>308</v>
      </c>
      <c r="B382" s="107" t="s">
        <v>10</v>
      </c>
      <c r="C382" s="52"/>
      <c r="D382" s="52"/>
      <c r="E382" s="52"/>
      <c r="F382" s="52"/>
      <c r="G382" s="53"/>
      <c r="H382" s="52"/>
      <c r="I382" s="54">
        <f>I383</f>
        <v>2.6933004999999999</v>
      </c>
      <c r="J382" s="64"/>
      <c r="K382" s="1"/>
      <c r="M382" s="256">
        <f>5%*M369</f>
        <v>2.7290000000000001</v>
      </c>
      <c r="N382" s="13">
        <f>M382-I382</f>
        <v>3.5699500000000217E-2</v>
      </c>
      <c r="O382" s="248">
        <f>N382/M382</f>
        <v>1.3081531696592237E-2</v>
      </c>
    </row>
    <row r="383" spans="1:15" ht="15.75" thickBot="1" x14ac:dyDescent="0.3">
      <c r="A383" s="117">
        <v>0.05</v>
      </c>
      <c r="B383" s="118"/>
      <c r="C383" s="102"/>
      <c r="D383" s="102"/>
      <c r="E383" s="102"/>
      <c r="F383" s="102"/>
      <c r="G383" s="119"/>
      <c r="H383" s="102"/>
      <c r="I383" s="102">
        <f>A383*I369</f>
        <v>2.6933004999999999</v>
      </c>
      <c r="J383" s="120"/>
      <c r="K383" s="121"/>
      <c r="M383" s="249"/>
      <c r="N383" s="250" t="s">
        <v>41</v>
      </c>
      <c r="O383" s="251"/>
    </row>
    <row r="384" spans="1:15" ht="15.75" thickBot="1" x14ac:dyDescent="0.3"/>
    <row r="385" spans="1:15" ht="15.75" thickBot="1" x14ac:dyDescent="0.3">
      <c r="A385" s="355" t="s">
        <v>63</v>
      </c>
      <c r="B385" s="47"/>
      <c r="C385" s="48" t="s">
        <v>2</v>
      </c>
      <c r="D385" s="48" t="s">
        <v>3</v>
      </c>
      <c r="E385" s="48" t="s">
        <v>4</v>
      </c>
      <c r="F385" s="48" t="s">
        <v>5</v>
      </c>
      <c r="G385" s="49" t="s">
        <v>1</v>
      </c>
      <c r="H385" s="48" t="s">
        <v>6</v>
      </c>
      <c r="I385" s="48" t="s">
        <v>7</v>
      </c>
      <c r="J385" s="48" t="s">
        <v>8</v>
      </c>
      <c r="K385" s="50" t="s">
        <v>9</v>
      </c>
    </row>
    <row r="386" spans="1:15" x14ac:dyDescent="0.25">
      <c r="A386" s="82" t="s">
        <v>212</v>
      </c>
      <c r="B386" s="107" t="s">
        <v>37</v>
      </c>
      <c r="C386" s="84"/>
      <c r="D386" s="84"/>
      <c r="E386" s="84"/>
      <c r="F386" s="84"/>
      <c r="G386" s="85"/>
      <c r="H386" s="84"/>
      <c r="I386" s="54">
        <f>SUM(I387:I411)</f>
        <v>22.180049999999994</v>
      </c>
      <c r="J386" s="84"/>
      <c r="K386" s="88"/>
      <c r="M386" s="254">
        <v>22.29</v>
      </c>
      <c r="N386" s="255">
        <f>M386-I386</f>
        <v>0.10995000000000488</v>
      </c>
      <c r="O386" s="244">
        <f>N386/M386</f>
        <v>4.9327052489907975E-3</v>
      </c>
    </row>
    <row r="387" spans="1:15" x14ac:dyDescent="0.25">
      <c r="A387" s="376" t="s">
        <v>192</v>
      </c>
      <c r="B387" s="108"/>
      <c r="C387" s="57"/>
      <c r="D387" s="57"/>
      <c r="E387" s="74"/>
      <c r="F387" s="74"/>
      <c r="G387" s="73"/>
      <c r="H387" s="57"/>
      <c r="I387" s="57"/>
      <c r="J387" s="74"/>
      <c r="K387" s="59"/>
      <c r="M387" s="245"/>
      <c r="N387" s="122" t="s">
        <v>41</v>
      </c>
      <c r="O387" s="246"/>
    </row>
    <row r="388" spans="1:15" x14ac:dyDescent="0.25">
      <c r="A388" s="104" t="s">
        <v>213</v>
      </c>
      <c r="B388" s="108"/>
      <c r="C388" s="57">
        <f>0.984+0.997+0.984</f>
        <v>2.9649999999999999</v>
      </c>
      <c r="D388" s="57"/>
      <c r="E388" s="74"/>
      <c r="F388" s="57">
        <v>1.8</v>
      </c>
      <c r="G388" s="73"/>
      <c r="H388" s="57"/>
      <c r="I388" s="57">
        <f>F388*C388</f>
        <v>5.3369999999999997</v>
      </c>
      <c r="J388" s="74"/>
      <c r="K388" s="59"/>
      <c r="M388" s="245"/>
      <c r="N388" s="122"/>
      <c r="O388" s="246"/>
    </row>
    <row r="389" spans="1:15" x14ac:dyDescent="0.25">
      <c r="A389" s="70" t="s">
        <v>214</v>
      </c>
      <c r="B389" s="71"/>
      <c r="C389" s="60"/>
      <c r="D389" s="60">
        <v>0.6</v>
      </c>
      <c r="E389" s="61"/>
      <c r="F389" s="60">
        <v>1.8</v>
      </c>
      <c r="G389" s="72">
        <v>3</v>
      </c>
      <c r="H389" s="61"/>
      <c r="I389" s="62">
        <f>F389*D389*-1*G389</f>
        <v>-3.24</v>
      </c>
      <c r="J389" s="61"/>
      <c r="K389" s="63"/>
      <c r="M389" s="245"/>
      <c r="N389" s="122"/>
      <c r="O389" s="246"/>
    </row>
    <row r="390" spans="1:15" x14ac:dyDescent="0.25">
      <c r="A390" s="104" t="s">
        <v>215</v>
      </c>
      <c r="B390" s="108"/>
      <c r="C390" s="57">
        <v>1.2629999999999999</v>
      </c>
      <c r="D390" s="57"/>
      <c r="E390" s="74"/>
      <c r="F390" s="57">
        <v>1.65</v>
      </c>
      <c r="G390" s="73">
        <v>2</v>
      </c>
      <c r="H390" s="57"/>
      <c r="I390" s="57">
        <f>F390*C390*G390</f>
        <v>4.1678999999999995</v>
      </c>
      <c r="J390" s="74"/>
      <c r="K390" s="59"/>
      <c r="M390" s="245"/>
      <c r="N390" s="122"/>
      <c r="O390" s="246"/>
    </row>
    <row r="391" spans="1:15" x14ac:dyDescent="0.25">
      <c r="A391" s="104" t="s">
        <v>216</v>
      </c>
      <c r="B391" s="108"/>
      <c r="C391" s="57"/>
      <c r="D391" s="57">
        <v>0.3</v>
      </c>
      <c r="E391" s="74"/>
      <c r="F391" s="57">
        <v>0.9</v>
      </c>
      <c r="G391" s="73">
        <v>2</v>
      </c>
      <c r="H391" s="57"/>
      <c r="I391" s="57">
        <f>F391*D391*G391</f>
        <v>0.54</v>
      </c>
      <c r="J391" s="74"/>
      <c r="K391" s="59"/>
      <c r="M391" s="245"/>
      <c r="N391" s="122"/>
      <c r="O391" s="246"/>
    </row>
    <row r="392" spans="1:15" x14ac:dyDescent="0.25">
      <c r="A392" s="104"/>
      <c r="B392" s="108"/>
      <c r="C392" s="57"/>
      <c r="D392" s="57"/>
      <c r="E392" s="74"/>
      <c r="F392" s="57"/>
      <c r="G392" s="73"/>
      <c r="H392" s="57"/>
      <c r="I392" s="57"/>
      <c r="J392" s="74"/>
      <c r="K392" s="59"/>
      <c r="M392" s="245"/>
      <c r="N392" s="122"/>
      <c r="O392" s="246"/>
    </row>
    <row r="393" spans="1:15" x14ac:dyDescent="0.25">
      <c r="A393" s="376" t="s">
        <v>193</v>
      </c>
      <c r="B393" s="108"/>
      <c r="C393" s="57"/>
      <c r="D393" s="57"/>
      <c r="E393" s="74"/>
      <c r="F393" s="74"/>
      <c r="G393" s="73"/>
      <c r="H393" s="57"/>
      <c r="I393" s="57"/>
      <c r="J393" s="74"/>
      <c r="K393" s="59"/>
      <c r="M393" s="245"/>
      <c r="N393" s="122" t="s">
        <v>41</v>
      </c>
      <c r="O393" s="246"/>
    </row>
    <row r="394" spans="1:15" x14ac:dyDescent="0.25">
      <c r="A394" s="104" t="s">
        <v>213</v>
      </c>
      <c r="B394" s="108"/>
      <c r="C394" s="57">
        <f>0.993+0.993</f>
        <v>1.986</v>
      </c>
      <c r="D394" s="57"/>
      <c r="E394" s="74"/>
      <c r="F394" s="57">
        <v>1.8</v>
      </c>
      <c r="G394" s="73"/>
      <c r="H394" s="57"/>
      <c r="I394" s="57">
        <f>F394*C394</f>
        <v>3.5748000000000002</v>
      </c>
      <c r="J394" s="74"/>
      <c r="K394" s="59"/>
      <c r="M394" s="245"/>
      <c r="N394" s="122"/>
      <c r="O394" s="246"/>
    </row>
    <row r="395" spans="1:15" x14ac:dyDescent="0.25">
      <c r="A395" s="70" t="s">
        <v>214</v>
      </c>
      <c r="B395" s="71"/>
      <c r="C395" s="60"/>
      <c r="D395" s="60">
        <v>0.6</v>
      </c>
      <c r="E395" s="61"/>
      <c r="F395" s="60">
        <v>1.8</v>
      </c>
      <c r="G395" s="72">
        <v>2</v>
      </c>
      <c r="H395" s="61"/>
      <c r="I395" s="62">
        <f>F395*D395*-1*G395</f>
        <v>-2.16</v>
      </c>
      <c r="J395" s="61"/>
      <c r="K395" s="63"/>
      <c r="M395" s="245"/>
      <c r="N395" s="122"/>
      <c r="O395" s="246"/>
    </row>
    <row r="396" spans="1:15" x14ac:dyDescent="0.25">
      <c r="A396" s="104" t="s">
        <v>215</v>
      </c>
      <c r="B396" s="108"/>
      <c r="C396" s="57">
        <v>1.2629999999999999</v>
      </c>
      <c r="D396" s="57"/>
      <c r="E396" s="74"/>
      <c r="F396" s="57">
        <v>1.65</v>
      </c>
      <c r="G396" s="73">
        <v>1</v>
      </c>
      <c r="H396" s="57"/>
      <c r="I396" s="57">
        <f>F396*C396*G396</f>
        <v>2.0839499999999997</v>
      </c>
      <c r="J396" s="74"/>
      <c r="K396" s="59"/>
      <c r="M396" s="245"/>
      <c r="N396" s="122"/>
      <c r="O396" s="246"/>
    </row>
    <row r="397" spans="1:15" x14ac:dyDescent="0.25">
      <c r="A397" s="104"/>
      <c r="B397" s="108"/>
      <c r="C397" s="57"/>
      <c r="D397" s="57"/>
      <c r="E397" s="74"/>
      <c r="F397" s="57"/>
      <c r="G397" s="73"/>
      <c r="H397" s="57"/>
      <c r="I397" s="57"/>
      <c r="J397" s="74"/>
      <c r="K397" s="59"/>
      <c r="M397" s="245"/>
      <c r="N397" s="122"/>
      <c r="O397" s="246"/>
    </row>
    <row r="398" spans="1:15" x14ac:dyDescent="0.25">
      <c r="A398" s="376" t="s">
        <v>194</v>
      </c>
      <c r="B398" s="108"/>
      <c r="C398" s="57"/>
      <c r="D398" s="57"/>
      <c r="E398" s="74"/>
      <c r="F398" s="74"/>
      <c r="G398" s="73"/>
      <c r="H398" s="57"/>
      <c r="I398" s="57"/>
      <c r="J398" s="74"/>
      <c r="K398" s="59"/>
      <c r="M398" s="245"/>
      <c r="N398" s="122" t="s">
        <v>41</v>
      </c>
      <c r="O398" s="246"/>
    </row>
    <row r="399" spans="1:15" x14ac:dyDescent="0.25">
      <c r="A399" s="104" t="s">
        <v>213</v>
      </c>
      <c r="B399" s="108"/>
      <c r="C399" s="57">
        <v>1.5129999999999999</v>
      </c>
      <c r="D399" s="57"/>
      <c r="E399" s="74"/>
      <c r="F399" s="57">
        <v>1.8</v>
      </c>
      <c r="G399" s="73"/>
      <c r="H399" s="57"/>
      <c r="I399" s="57">
        <f>F399*C399</f>
        <v>2.7233999999999998</v>
      </c>
      <c r="J399" s="74"/>
      <c r="K399" s="59"/>
      <c r="M399" s="245"/>
      <c r="N399" s="122"/>
      <c r="O399" s="246"/>
    </row>
    <row r="400" spans="1:15" x14ac:dyDescent="0.25">
      <c r="A400" s="104" t="s">
        <v>213</v>
      </c>
      <c r="B400" s="108"/>
      <c r="C400" s="57">
        <v>2.0129999999999999</v>
      </c>
      <c r="D400" s="57"/>
      <c r="E400" s="74"/>
      <c r="F400" s="57">
        <v>1.8</v>
      </c>
      <c r="G400" s="73"/>
      <c r="H400" s="57"/>
      <c r="I400" s="57">
        <f>F400*C400</f>
        <v>3.6233999999999997</v>
      </c>
      <c r="J400" s="74"/>
      <c r="K400" s="59"/>
      <c r="M400" s="245"/>
      <c r="N400" s="122"/>
      <c r="O400" s="246"/>
    </row>
    <row r="401" spans="1:15" x14ac:dyDescent="0.25">
      <c r="A401" s="70" t="s">
        <v>217</v>
      </c>
      <c r="B401" s="71"/>
      <c r="C401" s="60"/>
      <c r="D401" s="60">
        <v>0.8</v>
      </c>
      <c r="E401" s="61"/>
      <c r="F401" s="60">
        <v>1.8</v>
      </c>
      <c r="G401" s="72">
        <v>1</v>
      </c>
      <c r="H401" s="61"/>
      <c r="I401" s="62">
        <f>F401*D401*-1*G401</f>
        <v>-1.4400000000000002</v>
      </c>
      <c r="J401" s="61"/>
      <c r="K401" s="63"/>
      <c r="M401" s="245"/>
      <c r="N401" s="122"/>
      <c r="O401" s="246"/>
    </row>
    <row r="402" spans="1:15" x14ac:dyDescent="0.25">
      <c r="A402" s="104" t="s">
        <v>213</v>
      </c>
      <c r="B402" s="108"/>
      <c r="C402" s="57">
        <v>1.4530000000000001</v>
      </c>
      <c r="D402" s="57"/>
      <c r="E402" s="74"/>
      <c r="F402" s="57">
        <v>1.8</v>
      </c>
      <c r="G402" s="73"/>
      <c r="H402" s="57"/>
      <c r="I402" s="57">
        <f>F402*C402</f>
        <v>2.6154000000000002</v>
      </c>
      <c r="J402" s="74"/>
      <c r="K402" s="59"/>
      <c r="M402" s="245"/>
      <c r="N402" s="122"/>
      <c r="O402" s="246"/>
    </row>
    <row r="403" spans="1:15" x14ac:dyDescent="0.25">
      <c r="A403" s="70" t="s">
        <v>217</v>
      </c>
      <c r="B403" s="71"/>
      <c r="C403" s="60"/>
      <c r="D403" s="60">
        <v>0.8</v>
      </c>
      <c r="E403" s="61"/>
      <c r="F403" s="60">
        <v>1.8</v>
      </c>
      <c r="G403" s="72">
        <v>1</v>
      </c>
      <c r="H403" s="61"/>
      <c r="I403" s="62">
        <f>F403*D403*-1*G403</f>
        <v>-1.4400000000000002</v>
      </c>
      <c r="J403" s="61"/>
      <c r="K403" s="63"/>
      <c r="M403" s="245"/>
      <c r="N403" s="122"/>
      <c r="O403" s="246"/>
    </row>
    <row r="404" spans="1:15" x14ac:dyDescent="0.25">
      <c r="A404" s="104" t="s">
        <v>216</v>
      </c>
      <c r="B404" s="108"/>
      <c r="C404" s="57"/>
      <c r="D404" s="57">
        <v>0.3</v>
      </c>
      <c r="E404" s="74"/>
      <c r="F404" s="57">
        <v>0.9</v>
      </c>
      <c r="G404" s="73">
        <v>2</v>
      </c>
      <c r="H404" s="57"/>
      <c r="I404" s="57">
        <f>F404*D404*G404</f>
        <v>0.54</v>
      </c>
      <c r="J404" s="74"/>
      <c r="K404" s="59"/>
      <c r="M404" s="245"/>
      <c r="N404" s="122"/>
      <c r="O404" s="246"/>
    </row>
    <row r="405" spans="1:15" x14ac:dyDescent="0.25">
      <c r="A405" s="104"/>
      <c r="B405" s="108"/>
      <c r="C405" s="57"/>
      <c r="D405" s="57"/>
      <c r="E405" s="74"/>
      <c r="F405" s="57"/>
      <c r="G405" s="73"/>
      <c r="H405" s="57"/>
      <c r="I405" s="57"/>
      <c r="J405" s="74"/>
      <c r="K405" s="59"/>
      <c r="M405" s="245"/>
      <c r="N405" s="122"/>
      <c r="O405" s="246"/>
    </row>
    <row r="406" spans="1:15" x14ac:dyDescent="0.25">
      <c r="A406" s="376" t="s">
        <v>195</v>
      </c>
      <c r="B406" s="108"/>
      <c r="C406" s="57"/>
      <c r="D406" s="57"/>
      <c r="E406" s="74"/>
      <c r="F406" s="74"/>
      <c r="G406" s="73"/>
      <c r="H406" s="57"/>
      <c r="I406" s="57"/>
      <c r="J406" s="74"/>
      <c r="K406" s="59"/>
      <c r="M406" s="245"/>
      <c r="N406" s="122" t="s">
        <v>41</v>
      </c>
      <c r="O406" s="246"/>
    </row>
    <row r="407" spans="1:15" x14ac:dyDescent="0.25">
      <c r="A407" s="104" t="s">
        <v>213</v>
      </c>
      <c r="B407" s="108"/>
      <c r="C407" s="57">
        <f>0.913+1.073</f>
        <v>1.986</v>
      </c>
      <c r="D407" s="57"/>
      <c r="E407" s="74"/>
      <c r="F407" s="57">
        <v>1.8</v>
      </c>
      <c r="G407" s="73"/>
      <c r="H407" s="57"/>
      <c r="I407" s="57">
        <f>F407*C407</f>
        <v>3.5748000000000002</v>
      </c>
      <c r="J407" s="74"/>
      <c r="K407" s="59"/>
      <c r="M407" s="245"/>
      <c r="N407" s="122"/>
      <c r="O407" s="246"/>
    </row>
    <row r="408" spans="1:15" x14ac:dyDescent="0.25">
      <c r="A408" s="70" t="s">
        <v>217</v>
      </c>
      <c r="B408" s="71"/>
      <c r="C408" s="60"/>
      <c r="D408" s="60">
        <v>0.8</v>
      </c>
      <c r="E408" s="61"/>
      <c r="F408" s="60">
        <v>1.8</v>
      </c>
      <c r="G408" s="72">
        <v>1</v>
      </c>
      <c r="H408" s="61"/>
      <c r="I408" s="62">
        <f>F408*D408*-1*G408</f>
        <v>-1.4400000000000002</v>
      </c>
      <c r="J408" s="61"/>
      <c r="K408" s="63"/>
      <c r="M408" s="245"/>
      <c r="N408" s="122"/>
      <c r="O408" s="246"/>
    </row>
    <row r="409" spans="1:15" x14ac:dyDescent="0.25">
      <c r="A409" s="104" t="s">
        <v>213</v>
      </c>
      <c r="B409" s="108"/>
      <c r="C409" s="57">
        <v>1.073</v>
      </c>
      <c r="D409" s="57"/>
      <c r="E409" s="74"/>
      <c r="F409" s="57">
        <v>1.8</v>
      </c>
      <c r="G409" s="73"/>
      <c r="H409" s="57"/>
      <c r="I409" s="57">
        <f>F409*C409</f>
        <v>1.9314</v>
      </c>
      <c r="J409" s="74"/>
      <c r="K409" s="59"/>
      <c r="M409" s="245"/>
      <c r="N409" s="122"/>
      <c r="O409" s="246"/>
    </row>
    <row r="410" spans="1:15" x14ac:dyDescent="0.25">
      <c r="A410" s="70" t="s">
        <v>217</v>
      </c>
      <c r="B410" s="71"/>
      <c r="C410" s="60"/>
      <c r="D410" s="60">
        <v>0.8</v>
      </c>
      <c r="E410" s="61"/>
      <c r="F410" s="60">
        <v>1.8</v>
      </c>
      <c r="G410" s="72">
        <v>1</v>
      </c>
      <c r="H410" s="61"/>
      <c r="I410" s="62">
        <f>F410*D410*-1*G410</f>
        <v>-1.4400000000000002</v>
      </c>
      <c r="J410" s="61"/>
      <c r="K410" s="63"/>
      <c r="M410" s="245"/>
      <c r="N410" s="122"/>
      <c r="O410" s="246"/>
    </row>
    <row r="411" spans="1:15" ht="15.75" thickBot="1" x14ac:dyDescent="0.3">
      <c r="A411" s="104" t="s">
        <v>213</v>
      </c>
      <c r="B411" s="108"/>
      <c r="C411" s="57">
        <v>1.46</v>
      </c>
      <c r="D411" s="57"/>
      <c r="E411" s="74"/>
      <c r="F411" s="57">
        <v>1.8</v>
      </c>
      <c r="G411" s="73"/>
      <c r="H411" s="57"/>
      <c r="I411" s="57">
        <f>F411*C411</f>
        <v>2.6280000000000001</v>
      </c>
      <c r="J411" s="74"/>
      <c r="K411" s="59"/>
      <c r="M411" s="245"/>
      <c r="N411" s="122"/>
      <c r="O411" s="246"/>
    </row>
    <row r="412" spans="1:15" x14ac:dyDescent="0.25">
      <c r="A412" s="105" t="s">
        <v>64</v>
      </c>
      <c r="B412" s="106" t="s">
        <v>37</v>
      </c>
      <c r="C412" s="84"/>
      <c r="D412" s="84"/>
      <c r="E412" s="84"/>
      <c r="F412" s="84"/>
      <c r="G412" s="85"/>
      <c r="H412" s="375">
        <f>SUM(H413:H413)</f>
        <v>3.7519999999999998</v>
      </c>
      <c r="I412" s="86">
        <f>SUM(I413:I413)</f>
        <v>0.99427999999999994</v>
      </c>
      <c r="J412" s="84"/>
      <c r="K412" s="88"/>
      <c r="M412" s="254">
        <v>0.99</v>
      </c>
      <c r="N412" s="255">
        <f>M412-I412</f>
        <v>-4.2799999999999505E-3</v>
      </c>
      <c r="O412" s="244">
        <f>N412/M412</f>
        <v>-4.3232323232322732E-3</v>
      </c>
    </row>
    <row r="413" spans="1:15" ht="15.75" thickBot="1" x14ac:dyDescent="0.3">
      <c r="A413" s="75" t="s">
        <v>198</v>
      </c>
      <c r="B413" s="110"/>
      <c r="C413" s="77">
        <v>0.93799999999999994</v>
      </c>
      <c r="D413" s="80">
        <v>0.26500000000000001</v>
      </c>
      <c r="E413" s="77"/>
      <c r="F413" s="77"/>
      <c r="G413" s="79">
        <v>4</v>
      </c>
      <c r="H413" s="77">
        <f>C413*G413</f>
        <v>3.7519999999999998</v>
      </c>
      <c r="I413" s="77">
        <f>H413*D413</f>
        <v>0.99427999999999994</v>
      </c>
      <c r="J413" s="80"/>
      <c r="K413" s="81"/>
      <c r="M413" s="249"/>
      <c r="N413" s="250" t="s">
        <v>41</v>
      </c>
      <c r="O413" s="251"/>
    </row>
    <row r="414" spans="1:15" ht="15.75" thickBot="1" x14ac:dyDescent="0.3"/>
    <row r="415" spans="1:15" ht="15.75" thickBot="1" x14ac:dyDescent="0.3">
      <c r="A415" s="46" t="s">
        <v>65</v>
      </c>
      <c r="B415" s="47"/>
      <c r="C415" s="48" t="s">
        <v>2</v>
      </c>
      <c r="D415" s="48" t="s">
        <v>3</v>
      </c>
      <c r="E415" s="48" t="s">
        <v>66</v>
      </c>
      <c r="F415" s="48"/>
      <c r="G415" s="49" t="s">
        <v>1</v>
      </c>
      <c r="H415" s="48" t="s">
        <v>6</v>
      </c>
      <c r="I415" s="48" t="s">
        <v>7</v>
      </c>
      <c r="J415" s="48" t="s">
        <v>8</v>
      </c>
      <c r="K415" s="50" t="s">
        <v>9</v>
      </c>
    </row>
    <row r="416" spans="1:15" x14ac:dyDescent="0.25">
      <c r="A416" s="82" t="s">
        <v>196</v>
      </c>
      <c r="B416" s="106" t="s">
        <v>1</v>
      </c>
      <c r="C416" s="112">
        <v>0.6</v>
      </c>
      <c r="D416" s="84">
        <v>1.8</v>
      </c>
      <c r="E416" s="84"/>
      <c r="F416" s="84"/>
      <c r="G416" s="350">
        <f>3+2+1+1</f>
        <v>7</v>
      </c>
      <c r="H416" s="84"/>
      <c r="I416" s="84">
        <f>C416*D416*3*G416</f>
        <v>22.68</v>
      </c>
      <c r="J416" s="84"/>
      <c r="K416" s="140"/>
      <c r="M416" s="242">
        <v>7</v>
      </c>
      <c r="N416" s="243">
        <f>M416-G416</f>
        <v>0</v>
      </c>
      <c r="O416" s="244">
        <f>N416/M416</f>
        <v>0</v>
      </c>
    </row>
    <row r="417" spans="1:15" ht="15.75" thickBot="1" x14ac:dyDescent="0.3">
      <c r="A417" s="352" t="s">
        <v>197</v>
      </c>
      <c r="B417" s="126" t="s">
        <v>1</v>
      </c>
      <c r="C417" s="353">
        <v>0.8</v>
      </c>
      <c r="D417" s="127">
        <v>1.8</v>
      </c>
      <c r="E417" s="127"/>
      <c r="F417" s="127"/>
      <c r="G417" s="593">
        <f>1+1</f>
        <v>2</v>
      </c>
      <c r="H417" s="127"/>
      <c r="I417" s="127">
        <f>C417*D417*3*G417</f>
        <v>8.64</v>
      </c>
      <c r="J417" s="127"/>
      <c r="K417" s="354"/>
      <c r="M417" s="351">
        <v>2</v>
      </c>
      <c r="N417" s="252">
        <f>M417-G417</f>
        <v>0</v>
      </c>
      <c r="O417" s="253">
        <f>N417/M417</f>
        <v>0</v>
      </c>
    </row>
    <row r="418" spans="1:15" ht="15.75" thickBot="1" x14ac:dyDescent="0.3"/>
    <row r="419" spans="1:15" ht="15.75" thickBot="1" x14ac:dyDescent="0.3">
      <c r="A419" s="46" t="s">
        <v>67</v>
      </c>
      <c r="B419" s="47"/>
      <c r="C419" s="48" t="s">
        <v>2</v>
      </c>
      <c r="D419" s="48" t="s">
        <v>3</v>
      </c>
      <c r="E419" s="48" t="s">
        <v>4</v>
      </c>
      <c r="F419" s="48" t="s">
        <v>5</v>
      </c>
      <c r="G419" s="49" t="s">
        <v>1</v>
      </c>
      <c r="H419" s="48" t="s">
        <v>6</v>
      </c>
      <c r="I419" s="48" t="s">
        <v>7</v>
      </c>
      <c r="J419" s="48" t="s">
        <v>8</v>
      </c>
      <c r="K419" s="50" t="s">
        <v>9</v>
      </c>
    </row>
    <row r="420" spans="1:15" x14ac:dyDescent="0.25">
      <c r="A420" s="82" t="s">
        <v>69</v>
      </c>
      <c r="B420" s="107" t="s">
        <v>1</v>
      </c>
      <c r="C420" s="84"/>
      <c r="D420" s="84"/>
      <c r="E420" s="84"/>
      <c r="F420" s="84"/>
      <c r="G420" s="114">
        <f>SUM(G421:G424)</f>
        <v>9</v>
      </c>
      <c r="H420" s="84"/>
      <c r="I420" s="100">
        <f>SUM(I421:I424)</f>
        <v>1.8</v>
      </c>
      <c r="J420" s="594"/>
      <c r="K420" s="88"/>
      <c r="M420" s="242">
        <v>9</v>
      </c>
      <c r="N420" s="243">
        <f>M420-G420</f>
        <v>0</v>
      </c>
      <c r="O420" s="244">
        <f>N420/M420</f>
        <v>0</v>
      </c>
    </row>
    <row r="421" spans="1:15" x14ac:dyDescent="0.25">
      <c r="A421" s="104" t="s">
        <v>192</v>
      </c>
      <c r="B421" s="108"/>
      <c r="C421" s="57">
        <v>0.5</v>
      </c>
      <c r="D421" s="57">
        <v>0.9</v>
      </c>
      <c r="E421" s="74"/>
      <c r="F421" s="74"/>
      <c r="G421" s="73">
        <v>2</v>
      </c>
      <c r="H421" s="57"/>
      <c r="I421" s="57">
        <f>C421*D421</f>
        <v>0.45</v>
      </c>
      <c r="J421" s="74"/>
      <c r="K421" s="59"/>
      <c r="M421" s="245"/>
      <c r="N421" s="122" t="s">
        <v>41</v>
      </c>
      <c r="O421" s="246"/>
    </row>
    <row r="422" spans="1:15" x14ac:dyDescent="0.25">
      <c r="A422" s="104" t="s">
        <v>193</v>
      </c>
      <c r="B422" s="108"/>
      <c r="C422" s="57">
        <v>0.5</v>
      </c>
      <c r="D422" s="57">
        <v>0.9</v>
      </c>
      <c r="E422" s="74"/>
      <c r="F422" s="74"/>
      <c r="G422" s="73">
        <v>2</v>
      </c>
      <c r="H422" s="57"/>
      <c r="I422" s="57">
        <f>C422*D422</f>
        <v>0.45</v>
      </c>
      <c r="J422" s="74"/>
      <c r="K422" s="59"/>
      <c r="M422" s="245"/>
      <c r="N422" s="122" t="s">
        <v>41</v>
      </c>
      <c r="O422" s="246"/>
    </row>
    <row r="423" spans="1:15" x14ac:dyDescent="0.25">
      <c r="A423" s="104" t="s">
        <v>194</v>
      </c>
      <c r="B423" s="108"/>
      <c r="C423" s="57">
        <v>0.5</v>
      </c>
      <c r="D423" s="57">
        <v>0.9</v>
      </c>
      <c r="E423" s="74"/>
      <c r="F423" s="74"/>
      <c r="G423" s="73">
        <v>3</v>
      </c>
      <c r="H423" s="57"/>
      <c r="I423" s="57">
        <f>C423*D423</f>
        <v>0.45</v>
      </c>
      <c r="J423" s="74"/>
      <c r="K423" s="59"/>
      <c r="M423" s="245"/>
      <c r="N423" s="122" t="s">
        <v>41</v>
      </c>
      <c r="O423" s="246"/>
    </row>
    <row r="424" spans="1:15" ht="15.75" thickBot="1" x14ac:dyDescent="0.3">
      <c r="A424" s="109" t="s">
        <v>195</v>
      </c>
      <c r="B424" s="110"/>
      <c r="C424" s="77">
        <v>0.5</v>
      </c>
      <c r="D424" s="77">
        <v>0.9</v>
      </c>
      <c r="E424" s="78"/>
      <c r="F424" s="78"/>
      <c r="G424" s="79">
        <v>2</v>
      </c>
      <c r="H424" s="77"/>
      <c r="I424" s="77">
        <f>C424*D424</f>
        <v>0.45</v>
      </c>
      <c r="J424" s="78"/>
      <c r="K424" s="81"/>
      <c r="M424" s="249"/>
      <c r="N424" s="268" t="s">
        <v>41</v>
      </c>
      <c r="O424" s="251"/>
    </row>
    <row r="425" spans="1:15" ht="15.75" thickBot="1" x14ac:dyDescent="0.3"/>
    <row r="426" spans="1:15" ht="15.75" thickBot="1" x14ac:dyDescent="0.3">
      <c r="A426" s="355" t="s">
        <v>70</v>
      </c>
      <c r="B426" s="47"/>
      <c r="C426" s="48" t="s">
        <v>2</v>
      </c>
      <c r="D426" s="48" t="s">
        <v>3</v>
      </c>
      <c r="E426" s="48" t="s">
        <v>4</v>
      </c>
      <c r="F426" s="48" t="s">
        <v>5</v>
      </c>
      <c r="G426" s="49" t="s">
        <v>1</v>
      </c>
      <c r="H426" s="48" t="s">
        <v>6</v>
      </c>
      <c r="I426" s="48" t="s">
        <v>7</v>
      </c>
      <c r="J426" s="48" t="s">
        <v>8</v>
      </c>
      <c r="K426" s="50" t="s">
        <v>9</v>
      </c>
    </row>
    <row r="427" spans="1:15" ht="25.5" x14ac:dyDescent="0.25">
      <c r="A427" s="105" t="s">
        <v>71</v>
      </c>
      <c r="B427" s="106" t="s">
        <v>1</v>
      </c>
      <c r="C427" s="84"/>
      <c r="D427" s="84"/>
      <c r="E427" s="84"/>
      <c r="F427" s="84"/>
      <c r="G427" s="350">
        <f>SUM(G428:G431)</f>
        <v>6</v>
      </c>
      <c r="H427" s="84"/>
      <c r="I427" s="84"/>
      <c r="J427" s="84"/>
      <c r="K427" s="88"/>
      <c r="M427" s="242">
        <v>6</v>
      </c>
      <c r="N427" s="243">
        <f>M427-G427</f>
        <v>0</v>
      </c>
      <c r="O427" s="244">
        <f>N427/M427</f>
        <v>0</v>
      </c>
    </row>
    <row r="428" spans="1:15" x14ac:dyDescent="0.25">
      <c r="A428" s="55" t="s">
        <v>192</v>
      </c>
      <c r="B428" s="108"/>
      <c r="C428" s="57"/>
      <c r="D428" s="74"/>
      <c r="E428" s="74"/>
      <c r="F428" s="74"/>
      <c r="G428" s="73">
        <v>1</v>
      </c>
      <c r="H428" s="57"/>
      <c r="I428" s="57"/>
      <c r="J428" s="74"/>
      <c r="K428" s="59"/>
      <c r="M428" s="245"/>
      <c r="N428" s="24" t="s">
        <v>41</v>
      </c>
      <c r="O428" s="246"/>
    </row>
    <row r="429" spans="1:15" x14ac:dyDescent="0.25">
      <c r="A429" s="371" t="s">
        <v>193</v>
      </c>
      <c r="B429" s="123"/>
      <c r="C429" s="67"/>
      <c r="D429" s="124"/>
      <c r="E429" s="124"/>
      <c r="F429" s="124"/>
      <c r="G429" s="68">
        <v>1</v>
      </c>
      <c r="H429" s="67"/>
      <c r="I429" s="67"/>
      <c r="J429" s="124"/>
      <c r="K429" s="69"/>
      <c r="M429" s="245"/>
      <c r="N429" s="24" t="s">
        <v>41</v>
      </c>
      <c r="O429" s="246"/>
    </row>
    <row r="430" spans="1:15" x14ac:dyDescent="0.25">
      <c r="A430" s="55" t="s">
        <v>194</v>
      </c>
      <c r="B430" s="108"/>
      <c r="C430" s="57"/>
      <c r="D430" s="74"/>
      <c r="E430" s="74"/>
      <c r="F430" s="74"/>
      <c r="G430" s="68">
        <v>2</v>
      </c>
      <c r="H430" s="57"/>
      <c r="I430" s="57"/>
      <c r="J430" s="74"/>
      <c r="K430" s="59"/>
      <c r="M430" s="245"/>
      <c r="N430" s="24"/>
      <c r="O430" s="246"/>
    </row>
    <row r="431" spans="1:15" x14ac:dyDescent="0.25">
      <c r="A431" s="55" t="s">
        <v>195</v>
      </c>
      <c r="B431" s="108"/>
      <c r="C431" s="57"/>
      <c r="D431" s="74"/>
      <c r="E431" s="74"/>
      <c r="F431" s="74"/>
      <c r="G431" s="68">
        <v>2</v>
      </c>
      <c r="H431" s="57"/>
      <c r="I431" s="57"/>
      <c r="J431" s="74"/>
      <c r="K431" s="59"/>
      <c r="M431" s="245"/>
      <c r="N431" s="24"/>
      <c r="O431" s="246"/>
    </row>
    <row r="432" spans="1:15" ht="25.5" x14ac:dyDescent="0.25">
      <c r="A432" s="51" t="s">
        <v>72</v>
      </c>
      <c r="B432" s="107" t="s">
        <v>1</v>
      </c>
      <c r="C432" s="52"/>
      <c r="D432" s="52"/>
      <c r="E432" s="52"/>
      <c r="F432" s="52"/>
      <c r="G432" s="114">
        <f>SUM(G433:G436)</f>
        <v>4</v>
      </c>
      <c r="H432" s="52"/>
      <c r="I432" s="52"/>
      <c r="J432" s="52"/>
      <c r="K432" s="1"/>
      <c r="M432" s="247">
        <v>4</v>
      </c>
      <c r="N432" s="113">
        <f>M432-G432</f>
        <v>0</v>
      </c>
      <c r="O432" s="248">
        <f>N432/M432</f>
        <v>0</v>
      </c>
    </row>
    <row r="433" spans="1:15" x14ac:dyDescent="0.25">
      <c r="A433" s="55" t="s">
        <v>192</v>
      </c>
      <c r="B433" s="108"/>
      <c r="C433" s="57"/>
      <c r="D433" s="74"/>
      <c r="E433" s="74"/>
      <c r="F433" s="74"/>
      <c r="G433" s="73">
        <v>1</v>
      </c>
      <c r="H433" s="57"/>
      <c r="I433" s="57"/>
      <c r="J433" s="74"/>
      <c r="K433" s="59"/>
      <c r="M433" s="245"/>
      <c r="N433" s="24" t="s">
        <v>41</v>
      </c>
      <c r="O433" s="246"/>
    </row>
    <row r="434" spans="1:15" x14ac:dyDescent="0.25">
      <c r="A434" s="371" t="s">
        <v>193</v>
      </c>
      <c r="B434" s="123"/>
      <c r="C434" s="67"/>
      <c r="D434" s="124"/>
      <c r="E434" s="124"/>
      <c r="F434" s="124"/>
      <c r="G434" s="68">
        <v>1</v>
      </c>
      <c r="H434" s="67"/>
      <c r="I434" s="67"/>
      <c r="J434" s="124"/>
      <c r="K434" s="69"/>
      <c r="M434" s="245"/>
      <c r="N434" s="24" t="s">
        <v>41</v>
      </c>
      <c r="O434" s="246"/>
    </row>
    <row r="435" spans="1:15" x14ac:dyDescent="0.25">
      <c r="A435" s="55" t="s">
        <v>194</v>
      </c>
      <c r="B435" s="108"/>
      <c r="C435" s="57"/>
      <c r="D435" s="74"/>
      <c r="E435" s="74"/>
      <c r="F435" s="74"/>
      <c r="G435" s="68">
        <v>1</v>
      </c>
      <c r="H435" s="57"/>
      <c r="I435" s="57"/>
      <c r="J435" s="74"/>
      <c r="K435" s="59"/>
      <c r="M435" s="245"/>
      <c r="N435" s="24"/>
      <c r="O435" s="246"/>
    </row>
    <row r="436" spans="1:15" x14ac:dyDescent="0.25">
      <c r="A436" s="55" t="s">
        <v>195</v>
      </c>
      <c r="B436" s="108"/>
      <c r="C436" s="57"/>
      <c r="D436" s="74"/>
      <c r="E436" s="74"/>
      <c r="F436" s="74"/>
      <c r="G436" s="68">
        <v>1</v>
      </c>
      <c r="H436" s="57"/>
      <c r="I436" s="57"/>
      <c r="J436" s="74"/>
      <c r="K436" s="59"/>
      <c r="M436" s="245"/>
      <c r="N436" s="24"/>
      <c r="O436" s="246"/>
    </row>
    <row r="437" spans="1:15" ht="25.5" x14ac:dyDescent="0.25">
      <c r="A437" s="51" t="s">
        <v>73</v>
      </c>
      <c r="B437" s="107" t="s">
        <v>1</v>
      </c>
      <c r="C437" s="52"/>
      <c r="D437" s="52"/>
      <c r="E437" s="52"/>
      <c r="F437" s="52"/>
      <c r="G437" s="114">
        <f>SUM(G438:G441)</f>
        <v>9</v>
      </c>
      <c r="H437" s="52"/>
      <c r="I437" s="52"/>
      <c r="J437" s="52"/>
      <c r="K437" s="1"/>
      <c r="M437" s="247">
        <v>9</v>
      </c>
      <c r="N437" s="113">
        <f>M437-G437</f>
        <v>0</v>
      </c>
      <c r="O437" s="248">
        <f>N437/M437</f>
        <v>0</v>
      </c>
    </row>
    <row r="438" spans="1:15" x14ac:dyDescent="0.25">
      <c r="A438" s="55" t="s">
        <v>192</v>
      </c>
      <c r="B438" s="108"/>
      <c r="C438" s="57"/>
      <c r="D438" s="74"/>
      <c r="E438" s="74"/>
      <c r="F438" s="74"/>
      <c r="G438" s="73">
        <v>2</v>
      </c>
      <c r="H438" s="57"/>
      <c r="I438" s="57"/>
      <c r="J438" s="74"/>
      <c r="K438" s="59"/>
      <c r="M438" s="245"/>
      <c r="N438" s="24" t="s">
        <v>41</v>
      </c>
      <c r="O438" s="246"/>
    </row>
    <row r="439" spans="1:15" x14ac:dyDescent="0.25">
      <c r="A439" s="371" t="s">
        <v>193</v>
      </c>
      <c r="B439" s="108"/>
      <c r="C439" s="57"/>
      <c r="D439" s="74"/>
      <c r="E439" s="74"/>
      <c r="F439" s="74"/>
      <c r="G439" s="73">
        <v>2</v>
      </c>
      <c r="H439" s="57"/>
      <c r="I439" s="57"/>
      <c r="J439" s="74"/>
      <c r="K439" s="59"/>
      <c r="M439" s="245"/>
      <c r="N439" s="24"/>
      <c r="O439" s="246"/>
    </row>
    <row r="440" spans="1:15" x14ac:dyDescent="0.25">
      <c r="A440" s="55" t="s">
        <v>194</v>
      </c>
      <c r="B440" s="123"/>
      <c r="C440" s="67"/>
      <c r="D440" s="124"/>
      <c r="E440" s="124"/>
      <c r="F440" s="124"/>
      <c r="G440" s="68">
        <v>3</v>
      </c>
      <c r="H440" s="67"/>
      <c r="I440" s="67"/>
      <c r="J440" s="124"/>
      <c r="K440" s="69"/>
      <c r="M440" s="245"/>
      <c r="N440" s="24" t="s">
        <v>41</v>
      </c>
      <c r="O440" s="246"/>
    </row>
    <row r="441" spans="1:15" x14ac:dyDescent="0.25">
      <c r="A441" s="55" t="s">
        <v>195</v>
      </c>
      <c r="B441" s="108"/>
      <c r="C441" s="57"/>
      <c r="D441" s="74"/>
      <c r="E441" s="74"/>
      <c r="F441" s="74"/>
      <c r="G441" s="68">
        <v>2</v>
      </c>
      <c r="H441" s="57"/>
      <c r="I441" s="57"/>
      <c r="J441" s="74"/>
      <c r="K441" s="59"/>
      <c r="M441" s="245"/>
      <c r="N441" s="24"/>
      <c r="O441" s="246"/>
    </row>
    <row r="442" spans="1:15" ht="25.5" x14ac:dyDescent="0.25">
      <c r="A442" s="51" t="s">
        <v>83</v>
      </c>
      <c r="B442" s="107" t="s">
        <v>1</v>
      </c>
      <c r="C442" s="52"/>
      <c r="D442" s="52"/>
      <c r="E442" s="52"/>
      <c r="F442" s="52"/>
      <c r="G442" s="114">
        <f>SUM(G443:G446)</f>
        <v>7</v>
      </c>
      <c r="H442" s="52"/>
      <c r="I442" s="52"/>
      <c r="J442" s="52"/>
      <c r="K442" s="1"/>
      <c r="M442" s="247">
        <v>7</v>
      </c>
      <c r="N442" s="113">
        <f>M442-G442</f>
        <v>0</v>
      </c>
      <c r="O442" s="248">
        <f>N442/M442</f>
        <v>0</v>
      </c>
    </row>
    <row r="443" spans="1:15" x14ac:dyDescent="0.25">
      <c r="A443" s="55" t="s">
        <v>192</v>
      </c>
      <c r="B443" s="108"/>
      <c r="C443" s="57"/>
      <c r="D443" s="74"/>
      <c r="E443" s="74"/>
      <c r="F443" s="74"/>
      <c r="G443" s="73">
        <v>2</v>
      </c>
      <c r="H443" s="57"/>
      <c r="I443" s="57"/>
      <c r="J443" s="74"/>
      <c r="K443" s="59"/>
      <c r="M443" s="245"/>
      <c r="N443" s="24" t="s">
        <v>41</v>
      </c>
      <c r="O443" s="246"/>
    </row>
    <row r="444" spans="1:15" x14ac:dyDescent="0.25">
      <c r="A444" s="371" t="s">
        <v>193</v>
      </c>
      <c r="B444" s="108"/>
      <c r="C444" s="57"/>
      <c r="D444" s="74"/>
      <c r="E444" s="74"/>
      <c r="F444" s="74"/>
      <c r="G444" s="73">
        <v>2</v>
      </c>
      <c r="H444" s="57"/>
      <c r="I444" s="57"/>
      <c r="J444" s="74"/>
      <c r="K444" s="59"/>
      <c r="M444" s="245"/>
      <c r="N444" s="24"/>
      <c r="O444" s="246"/>
    </row>
    <row r="445" spans="1:15" x14ac:dyDescent="0.25">
      <c r="A445" s="55" t="s">
        <v>194</v>
      </c>
      <c r="B445" s="123"/>
      <c r="C445" s="67"/>
      <c r="D445" s="124"/>
      <c r="E445" s="124"/>
      <c r="F445" s="124"/>
      <c r="G445" s="68">
        <v>2</v>
      </c>
      <c r="H445" s="67"/>
      <c r="I445" s="67"/>
      <c r="J445" s="124"/>
      <c r="K445" s="69"/>
      <c r="M445" s="245"/>
      <c r="N445" s="24" t="s">
        <v>41</v>
      </c>
      <c r="O445" s="246"/>
    </row>
    <row r="446" spans="1:15" x14ac:dyDescent="0.25">
      <c r="A446" s="55" t="s">
        <v>195</v>
      </c>
      <c r="B446" s="108"/>
      <c r="C446" s="57"/>
      <c r="D446" s="74"/>
      <c r="E446" s="74"/>
      <c r="F446" s="74"/>
      <c r="G446" s="68">
        <v>1</v>
      </c>
      <c r="H446" s="57"/>
      <c r="I446" s="57"/>
      <c r="J446" s="74"/>
      <c r="K446" s="59"/>
      <c r="M446" s="245"/>
      <c r="N446" s="24"/>
      <c r="O446" s="246"/>
    </row>
    <row r="447" spans="1:15" ht="25.5" x14ac:dyDescent="0.25">
      <c r="A447" s="51" t="s">
        <v>74</v>
      </c>
      <c r="B447" s="107" t="s">
        <v>1</v>
      </c>
      <c r="C447" s="52"/>
      <c r="D447" s="52"/>
      <c r="E447" s="52"/>
      <c r="F447" s="52"/>
      <c r="G447" s="114">
        <f>SUM(G448:G451)</f>
        <v>6</v>
      </c>
      <c r="H447" s="52"/>
      <c r="I447" s="52"/>
      <c r="J447" s="52"/>
      <c r="K447" s="1"/>
      <c r="M447" s="247">
        <v>6</v>
      </c>
      <c r="N447" s="113">
        <f>M447-G447</f>
        <v>0</v>
      </c>
      <c r="O447" s="248">
        <f>N447/M447</f>
        <v>0</v>
      </c>
    </row>
    <row r="448" spans="1:15" x14ac:dyDescent="0.25">
      <c r="A448" s="55" t="s">
        <v>192</v>
      </c>
      <c r="B448" s="108"/>
      <c r="C448" s="57"/>
      <c r="D448" s="74"/>
      <c r="E448" s="74"/>
      <c r="F448" s="74"/>
      <c r="G448" s="73">
        <v>1</v>
      </c>
      <c r="H448" s="57"/>
      <c r="I448" s="57"/>
      <c r="J448" s="74"/>
      <c r="K448" s="59"/>
      <c r="M448" s="245"/>
      <c r="N448" s="24" t="s">
        <v>41</v>
      </c>
      <c r="O448" s="246"/>
    </row>
    <row r="449" spans="1:15" x14ac:dyDescent="0.25">
      <c r="A449" s="371" t="s">
        <v>193</v>
      </c>
      <c r="B449" s="123"/>
      <c r="C449" s="67"/>
      <c r="D449" s="124"/>
      <c r="E449" s="124"/>
      <c r="F449" s="124"/>
      <c r="G449" s="68">
        <v>1</v>
      </c>
      <c r="H449" s="67"/>
      <c r="I449" s="67"/>
      <c r="J449" s="124"/>
      <c r="K449" s="69"/>
      <c r="M449" s="245"/>
      <c r="N449" s="24" t="s">
        <v>41</v>
      </c>
      <c r="O449" s="246"/>
    </row>
    <row r="450" spans="1:15" x14ac:dyDescent="0.25">
      <c r="A450" s="55" t="s">
        <v>194</v>
      </c>
      <c r="B450" s="108"/>
      <c r="C450" s="57"/>
      <c r="D450" s="74"/>
      <c r="E450" s="74"/>
      <c r="F450" s="74"/>
      <c r="G450" s="68">
        <v>2</v>
      </c>
      <c r="H450" s="57"/>
      <c r="I450" s="57"/>
      <c r="J450" s="74"/>
      <c r="K450" s="59"/>
      <c r="M450" s="245"/>
      <c r="N450" s="24"/>
      <c r="O450" s="246"/>
    </row>
    <row r="451" spans="1:15" x14ac:dyDescent="0.25">
      <c r="A451" s="55" t="s">
        <v>195</v>
      </c>
      <c r="B451" s="108"/>
      <c r="C451" s="57"/>
      <c r="D451" s="74"/>
      <c r="E451" s="74"/>
      <c r="F451" s="74"/>
      <c r="G451" s="68">
        <v>2</v>
      </c>
      <c r="H451" s="57"/>
      <c r="I451" s="57"/>
      <c r="J451" s="74"/>
      <c r="K451" s="59"/>
      <c r="M451" s="245"/>
      <c r="N451" s="24"/>
      <c r="O451" s="246"/>
    </row>
    <row r="452" spans="1:15" x14ac:dyDescent="0.25">
      <c r="A452" s="51" t="s">
        <v>87</v>
      </c>
      <c r="B452" s="107" t="s">
        <v>1</v>
      </c>
      <c r="C452" s="52"/>
      <c r="D452" s="52"/>
      <c r="E452" s="52"/>
      <c r="F452" s="52"/>
      <c r="G452" s="114">
        <f>SUM(G453:G456)</f>
        <v>4</v>
      </c>
      <c r="H452" s="52"/>
      <c r="I452" s="52"/>
      <c r="J452" s="52"/>
      <c r="K452" s="1"/>
      <c r="M452" s="247">
        <v>4</v>
      </c>
      <c r="N452" s="113">
        <f>M452-G452</f>
        <v>0</v>
      </c>
      <c r="O452" s="248">
        <f>N452/M452</f>
        <v>0</v>
      </c>
    </row>
    <row r="453" spans="1:15" x14ac:dyDescent="0.25">
      <c r="A453" s="55" t="s">
        <v>192</v>
      </c>
      <c r="B453" s="108"/>
      <c r="C453" s="57"/>
      <c r="D453" s="74"/>
      <c r="E453" s="74"/>
      <c r="F453" s="74"/>
      <c r="G453" s="73">
        <v>2</v>
      </c>
      <c r="H453" s="57"/>
      <c r="I453" s="57"/>
      <c r="J453" s="74"/>
      <c r="K453" s="59"/>
      <c r="M453" s="245"/>
      <c r="N453" s="24" t="s">
        <v>41</v>
      </c>
      <c r="O453" s="246"/>
    </row>
    <row r="454" spans="1:15" x14ac:dyDescent="0.25">
      <c r="A454" s="371" t="s">
        <v>193</v>
      </c>
      <c r="B454" s="108"/>
      <c r="C454" s="57"/>
      <c r="D454" s="74"/>
      <c r="E454" s="74"/>
      <c r="F454" s="74"/>
      <c r="G454" s="68"/>
      <c r="H454" s="57"/>
      <c r="I454" s="57"/>
      <c r="J454" s="74"/>
      <c r="K454" s="59"/>
      <c r="M454" s="245"/>
      <c r="N454" s="24"/>
      <c r="O454" s="246"/>
    </row>
    <row r="455" spans="1:15" x14ac:dyDescent="0.25">
      <c r="A455" s="55" t="s">
        <v>194</v>
      </c>
      <c r="B455" s="123"/>
      <c r="C455" s="67"/>
      <c r="D455" s="124"/>
      <c r="E455" s="124"/>
      <c r="F455" s="124"/>
      <c r="G455" s="68">
        <v>2</v>
      </c>
      <c r="H455" s="67"/>
      <c r="I455" s="67"/>
      <c r="J455" s="124"/>
      <c r="K455" s="69"/>
      <c r="M455" s="245"/>
      <c r="N455" s="24" t="s">
        <v>41</v>
      </c>
      <c r="O455" s="246"/>
    </row>
    <row r="456" spans="1:15" x14ac:dyDescent="0.25">
      <c r="A456" s="55" t="s">
        <v>195</v>
      </c>
      <c r="B456" s="108"/>
      <c r="C456" s="57"/>
      <c r="D456" s="74"/>
      <c r="E456" s="74"/>
      <c r="F456" s="74"/>
      <c r="G456" s="68"/>
      <c r="H456" s="57"/>
      <c r="I456" s="57"/>
      <c r="J456" s="74"/>
      <c r="K456" s="59"/>
      <c r="M456" s="245"/>
      <c r="N456" s="24"/>
      <c r="O456" s="246"/>
    </row>
    <row r="457" spans="1:15" ht="38.25" x14ac:dyDescent="0.25">
      <c r="A457" s="51" t="s">
        <v>75</v>
      </c>
      <c r="B457" s="107" t="s">
        <v>1</v>
      </c>
      <c r="C457" s="52"/>
      <c r="D457" s="52"/>
      <c r="E457" s="52"/>
      <c r="F457" s="52"/>
      <c r="G457" s="114">
        <f>SUM(G458:G461)</f>
        <v>7</v>
      </c>
      <c r="H457" s="52"/>
      <c r="I457" s="52"/>
      <c r="J457" s="52"/>
      <c r="K457" s="1"/>
      <c r="M457" s="247">
        <v>7</v>
      </c>
      <c r="N457" s="113">
        <f>M457-G457</f>
        <v>0</v>
      </c>
      <c r="O457" s="248">
        <f>N457/M457</f>
        <v>0</v>
      </c>
    </row>
    <row r="458" spans="1:15" x14ac:dyDescent="0.25">
      <c r="A458" s="55" t="s">
        <v>192</v>
      </c>
      <c r="B458" s="108"/>
      <c r="C458" s="57"/>
      <c r="D458" s="74"/>
      <c r="E458" s="74"/>
      <c r="F458" s="74"/>
      <c r="G458" s="73">
        <v>3</v>
      </c>
      <c r="H458" s="57"/>
      <c r="I458" s="57"/>
      <c r="J458" s="74"/>
      <c r="K458" s="59"/>
      <c r="M458" s="245"/>
      <c r="N458" s="24" t="s">
        <v>41</v>
      </c>
      <c r="O458" s="246"/>
    </row>
    <row r="459" spans="1:15" x14ac:dyDescent="0.25">
      <c r="A459" s="371" t="s">
        <v>193</v>
      </c>
      <c r="B459" s="108"/>
      <c r="C459" s="57"/>
      <c r="D459" s="74"/>
      <c r="E459" s="74"/>
      <c r="F459" s="74"/>
      <c r="G459" s="68">
        <v>2</v>
      </c>
      <c r="H459" s="57"/>
      <c r="I459" s="57"/>
      <c r="J459" s="74"/>
      <c r="K459" s="59"/>
      <c r="M459" s="245"/>
      <c r="N459" s="24"/>
      <c r="O459" s="246"/>
    </row>
    <row r="460" spans="1:15" x14ac:dyDescent="0.25">
      <c r="A460" s="55" t="s">
        <v>194</v>
      </c>
      <c r="B460" s="123"/>
      <c r="C460" s="67"/>
      <c r="D460" s="124"/>
      <c r="E460" s="124"/>
      <c r="F460" s="124"/>
      <c r="G460" s="68">
        <v>1</v>
      </c>
      <c r="H460" s="67"/>
      <c r="I460" s="67"/>
      <c r="J460" s="124"/>
      <c r="K460" s="69"/>
      <c r="M460" s="245"/>
      <c r="N460" s="24" t="s">
        <v>41</v>
      </c>
      <c r="O460" s="246"/>
    </row>
    <row r="461" spans="1:15" x14ac:dyDescent="0.25">
      <c r="A461" s="55" t="s">
        <v>195</v>
      </c>
      <c r="B461" s="108"/>
      <c r="C461" s="57"/>
      <c r="D461" s="74"/>
      <c r="E461" s="74"/>
      <c r="F461" s="74"/>
      <c r="G461" s="68">
        <v>1</v>
      </c>
      <c r="H461" s="57"/>
      <c r="I461" s="57"/>
      <c r="J461" s="74"/>
      <c r="K461" s="59"/>
      <c r="M461" s="245"/>
      <c r="N461" s="24"/>
      <c r="O461" s="246"/>
    </row>
    <row r="462" spans="1:15" x14ac:dyDescent="0.25">
      <c r="A462" s="51" t="s">
        <v>76</v>
      </c>
      <c r="B462" s="107" t="s">
        <v>1</v>
      </c>
      <c r="C462" s="52"/>
      <c r="D462" s="52"/>
      <c r="E462" s="52"/>
      <c r="F462" s="52"/>
      <c r="G462" s="114">
        <f>SUM(G463:G466)</f>
        <v>6</v>
      </c>
      <c r="H462" s="52"/>
      <c r="I462" s="52"/>
      <c r="J462" s="52"/>
      <c r="K462" s="1"/>
      <c r="M462" s="247">
        <v>6</v>
      </c>
      <c r="N462" s="113">
        <f>M462-G462</f>
        <v>0</v>
      </c>
      <c r="O462" s="248">
        <f>N462/M462</f>
        <v>0</v>
      </c>
    </row>
    <row r="463" spans="1:15" x14ac:dyDescent="0.25">
      <c r="A463" s="55" t="s">
        <v>192</v>
      </c>
      <c r="B463" s="108"/>
      <c r="C463" s="57"/>
      <c r="D463" s="74"/>
      <c r="E463" s="74"/>
      <c r="F463" s="74"/>
      <c r="G463" s="73">
        <v>1</v>
      </c>
      <c r="H463" s="57"/>
      <c r="I463" s="57"/>
      <c r="J463" s="74"/>
      <c r="K463" s="59"/>
      <c r="M463" s="245"/>
      <c r="N463" s="24" t="s">
        <v>41</v>
      </c>
      <c r="O463" s="246"/>
    </row>
    <row r="464" spans="1:15" x14ac:dyDescent="0.25">
      <c r="A464" s="371" t="s">
        <v>193</v>
      </c>
      <c r="B464" s="108"/>
      <c r="C464" s="57"/>
      <c r="D464" s="74"/>
      <c r="E464" s="74"/>
      <c r="F464" s="74"/>
      <c r="G464" s="68">
        <v>1</v>
      </c>
      <c r="H464" s="57"/>
      <c r="I464" s="57"/>
      <c r="J464" s="74"/>
      <c r="K464" s="59"/>
      <c r="M464" s="245"/>
      <c r="N464" s="24"/>
      <c r="O464" s="246"/>
    </row>
    <row r="465" spans="1:15" x14ac:dyDescent="0.25">
      <c r="A465" s="55" t="s">
        <v>194</v>
      </c>
      <c r="B465" s="123"/>
      <c r="C465" s="67"/>
      <c r="D465" s="124"/>
      <c r="E465" s="124"/>
      <c r="F465" s="124"/>
      <c r="G465" s="68">
        <v>2</v>
      </c>
      <c r="H465" s="67"/>
      <c r="I465" s="67"/>
      <c r="J465" s="124"/>
      <c r="K465" s="69"/>
      <c r="M465" s="245"/>
      <c r="N465" s="24" t="s">
        <v>41</v>
      </c>
      <c r="O465" s="246"/>
    </row>
    <row r="466" spans="1:15" x14ac:dyDescent="0.25">
      <c r="A466" s="55" t="s">
        <v>195</v>
      </c>
      <c r="B466" s="108"/>
      <c r="C466" s="57"/>
      <c r="D466" s="74"/>
      <c r="E466" s="74"/>
      <c r="F466" s="74"/>
      <c r="G466" s="68">
        <v>2</v>
      </c>
      <c r="H466" s="57"/>
      <c r="I466" s="57"/>
      <c r="J466" s="74"/>
      <c r="K466" s="59"/>
      <c r="M466" s="245"/>
      <c r="N466" s="24"/>
      <c r="O466" s="246"/>
    </row>
    <row r="467" spans="1:15" x14ac:dyDescent="0.25">
      <c r="A467" s="51" t="s">
        <v>77</v>
      </c>
      <c r="B467" s="107" t="s">
        <v>1</v>
      </c>
      <c r="C467" s="52"/>
      <c r="D467" s="52"/>
      <c r="E467" s="52"/>
      <c r="F467" s="52"/>
      <c r="G467" s="114">
        <f>SUM(G468:G471)</f>
        <v>9</v>
      </c>
      <c r="H467" s="52"/>
      <c r="I467" s="52"/>
      <c r="J467" s="52"/>
      <c r="K467" s="1"/>
      <c r="M467" s="247">
        <v>9</v>
      </c>
      <c r="N467" s="113">
        <f>M467-G467</f>
        <v>0</v>
      </c>
      <c r="O467" s="248">
        <f>N467/M467</f>
        <v>0</v>
      </c>
    </row>
    <row r="468" spans="1:15" x14ac:dyDescent="0.25">
      <c r="A468" s="55" t="s">
        <v>192</v>
      </c>
      <c r="B468" s="108"/>
      <c r="C468" s="57"/>
      <c r="D468" s="74"/>
      <c r="E468" s="74"/>
      <c r="F468" s="74"/>
      <c r="G468" s="73">
        <v>3</v>
      </c>
      <c r="H468" s="57"/>
      <c r="I468" s="57"/>
      <c r="J468" s="74"/>
      <c r="K468" s="59"/>
      <c r="M468" s="245"/>
      <c r="N468" s="24" t="s">
        <v>41</v>
      </c>
      <c r="O468" s="246"/>
    </row>
    <row r="469" spans="1:15" x14ac:dyDescent="0.25">
      <c r="A469" s="371" t="s">
        <v>193</v>
      </c>
      <c r="B469" s="108"/>
      <c r="C469" s="57"/>
      <c r="D469" s="74"/>
      <c r="E469" s="74"/>
      <c r="F469" s="74"/>
      <c r="G469" s="68">
        <v>2</v>
      </c>
      <c r="H469" s="57"/>
      <c r="I469" s="57"/>
      <c r="J469" s="74"/>
      <c r="K469" s="59"/>
      <c r="M469" s="245"/>
      <c r="N469" s="24"/>
      <c r="O469" s="246"/>
    </row>
    <row r="470" spans="1:15" x14ac:dyDescent="0.25">
      <c r="A470" s="55" t="s">
        <v>194</v>
      </c>
      <c r="B470" s="123"/>
      <c r="C470" s="67"/>
      <c r="D470" s="124"/>
      <c r="E470" s="124"/>
      <c r="F470" s="124"/>
      <c r="G470" s="68">
        <v>2</v>
      </c>
      <c r="H470" s="67"/>
      <c r="I470" s="67"/>
      <c r="J470" s="124"/>
      <c r="K470" s="69"/>
      <c r="M470" s="245"/>
      <c r="N470" s="24" t="s">
        <v>41</v>
      </c>
      <c r="O470" s="246"/>
    </row>
    <row r="471" spans="1:15" x14ac:dyDescent="0.25">
      <c r="A471" s="55" t="s">
        <v>195</v>
      </c>
      <c r="B471" s="108"/>
      <c r="C471" s="57"/>
      <c r="D471" s="74"/>
      <c r="E471" s="74"/>
      <c r="F471" s="74"/>
      <c r="G471" s="68">
        <v>2</v>
      </c>
      <c r="H471" s="57"/>
      <c r="I471" s="57"/>
      <c r="J471" s="74"/>
      <c r="K471" s="59"/>
      <c r="M471" s="245"/>
      <c r="N471" s="24"/>
      <c r="O471" s="246"/>
    </row>
    <row r="472" spans="1:15" ht="25.5" x14ac:dyDescent="0.25">
      <c r="A472" s="51" t="s">
        <v>78</v>
      </c>
      <c r="B472" s="107" t="s">
        <v>1</v>
      </c>
      <c r="C472" s="52"/>
      <c r="D472" s="52"/>
      <c r="E472" s="52"/>
      <c r="F472" s="52"/>
      <c r="G472" s="114">
        <f>SUM(G473:G476)</f>
        <v>4</v>
      </c>
      <c r="H472" s="52"/>
      <c r="I472" s="52"/>
      <c r="J472" s="52"/>
      <c r="K472" s="1"/>
      <c r="M472" s="247">
        <v>4</v>
      </c>
      <c r="N472" s="113">
        <f>M472-G472</f>
        <v>0</v>
      </c>
      <c r="O472" s="248">
        <f>N472/M472</f>
        <v>0</v>
      </c>
    </row>
    <row r="473" spans="1:15" x14ac:dyDescent="0.25">
      <c r="A473" s="55" t="s">
        <v>192</v>
      </c>
      <c r="B473" s="108"/>
      <c r="C473" s="57"/>
      <c r="D473" s="74"/>
      <c r="E473" s="74"/>
      <c r="F473" s="74"/>
      <c r="G473" s="73"/>
      <c r="H473" s="57"/>
      <c r="I473" s="57"/>
      <c r="J473" s="74"/>
      <c r="K473" s="59"/>
      <c r="M473" s="245"/>
      <c r="N473" s="24" t="s">
        <v>41</v>
      </c>
      <c r="O473" s="246"/>
    </row>
    <row r="474" spans="1:15" x14ac:dyDescent="0.25">
      <c r="A474" s="371" t="s">
        <v>193</v>
      </c>
      <c r="B474" s="108"/>
      <c r="C474" s="57"/>
      <c r="D474" s="74"/>
      <c r="E474" s="74"/>
      <c r="F474" s="74"/>
      <c r="G474" s="68"/>
      <c r="H474" s="57"/>
      <c r="I474" s="57"/>
      <c r="J474" s="74"/>
      <c r="K474" s="59"/>
      <c r="M474" s="245"/>
      <c r="N474" s="24"/>
      <c r="O474" s="246"/>
    </row>
    <row r="475" spans="1:15" x14ac:dyDescent="0.25">
      <c r="A475" s="55" t="s">
        <v>194</v>
      </c>
      <c r="B475" s="123"/>
      <c r="C475" s="67"/>
      <c r="D475" s="124"/>
      <c r="E475" s="124"/>
      <c r="F475" s="124"/>
      <c r="G475" s="68">
        <v>2</v>
      </c>
      <c r="H475" s="67"/>
      <c r="I475" s="67"/>
      <c r="J475" s="124"/>
      <c r="K475" s="69"/>
      <c r="M475" s="245"/>
      <c r="N475" s="24" t="s">
        <v>41</v>
      </c>
      <c r="O475" s="246"/>
    </row>
    <row r="476" spans="1:15" x14ac:dyDescent="0.25">
      <c r="A476" s="55" t="s">
        <v>195</v>
      </c>
      <c r="B476" s="108"/>
      <c r="C476" s="57"/>
      <c r="D476" s="74"/>
      <c r="E476" s="74"/>
      <c r="F476" s="74"/>
      <c r="G476" s="68">
        <v>2</v>
      </c>
      <c r="H476" s="57"/>
      <c r="I476" s="57"/>
      <c r="J476" s="74"/>
      <c r="K476" s="59"/>
      <c r="M476" s="245"/>
      <c r="N476" s="24"/>
      <c r="O476" s="246"/>
    </row>
    <row r="477" spans="1:15" ht="38.25" x14ac:dyDescent="0.25">
      <c r="A477" s="51" t="s">
        <v>79</v>
      </c>
      <c r="B477" s="107" t="s">
        <v>1</v>
      </c>
      <c r="C477" s="52"/>
      <c r="D477" s="52"/>
      <c r="E477" s="52"/>
      <c r="F477" s="52"/>
      <c r="G477" s="114">
        <f>SUM(G478:G481)</f>
        <v>2</v>
      </c>
      <c r="H477" s="52"/>
      <c r="I477" s="52"/>
      <c r="J477" s="52"/>
      <c r="K477" s="1"/>
      <c r="M477" s="247">
        <v>2</v>
      </c>
      <c r="N477" s="113">
        <f>M477-G477</f>
        <v>0</v>
      </c>
      <c r="O477" s="248">
        <f>N477/M477</f>
        <v>0</v>
      </c>
    </row>
    <row r="478" spans="1:15" x14ac:dyDescent="0.25">
      <c r="A478" s="55" t="s">
        <v>192</v>
      </c>
      <c r="B478" s="108"/>
      <c r="C478" s="57"/>
      <c r="D478" s="74"/>
      <c r="E478" s="74"/>
      <c r="F478" s="74"/>
      <c r="G478" s="73"/>
      <c r="H478" s="57"/>
      <c r="I478" s="57"/>
      <c r="J478" s="74"/>
      <c r="K478" s="59"/>
      <c r="M478" s="245"/>
      <c r="N478" s="24" t="s">
        <v>41</v>
      </c>
      <c r="O478" s="246"/>
    </row>
    <row r="479" spans="1:15" x14ac:dyDescent="0.25">
      <c r="A479" s="371" t="s">
        <v>193</v>
      </c>
      <c r="B479" s="108"/>
      <c r="C479" s="57"/>
      <c r="D479" s="74"/>
      <c r="E479" s="74"/>
      <c r="F479" s="74"/>
      <c r="G479" s="73"/>
      <c r="H479" s="57"/>
      <c r="I479" s="57"/>
      <c r="J479" s="74"/>
      <c r="K479" s="59"/>
      <c r="M479" s="245"/>
      <c r="N479" s="24"/>
      <c r="O479" s="246"/>
    </row>
    <row r="480" spans="1:15" x14ac:dyDescent="0.25">
      <c r="A480" s="55" t="s">
        <v>194</v>
      </c>
      <c r="B480" s="123"/>
      <c r="C480" s="67"/>
      <c r="D480" s="124"/>
      <c r="E480" s="124"/>
      <c r="F480" s="124"/>
      <c r="G480" s="68">
        <v>1</v>
      </c>
      <c r="H480" s="67"/>
      <c r="I480" s="67"/>
      <c r="J480" s="124"/>
      <c r="K480" s="69"/>
      <c r="M480" s="245"/>
      <c r="N480" s="24" t="s">
        <v>41</v>
      </c>
      <c r="O480" s="246"/>
    </row>
    <row r="481" spans="1:15" x14ac:dyDescent="0.25">
      <c r="A481" s="55" t="s">
        <v>195</v>
      </c>
      <c r="B481" s="108"/>
      <c r="C481" s="57"/>
      <c r="D481" s="74"/>
      <c r="E481" s="74"/>
      <c r="F481" s="74"/>
      <c r="G481" s="68">
        <v>1</v>
      </c>
      <c r="H481" s="57"/>
      <c r="I481" s="57"/>
      <c r="J481" s="74"/>
      <c r="K481" s="59"/>
      <c r="M481" s="245"/>
      <c r="N481" s="24"/>
      <c r="O481" s="246"/>
    </row>
    <row r="482" spans="1:15" ht="25.5" x14ac:dyDescent="0.25">
      <c r="A482" s="51" t="s">
        <v>80</v>
      </c>
      <c r="B482" s="107" t="s">
        <v>1</v>
      </c>
      <c r="C482" s="52"/>
      <c r="D482" s="52"/>
      <c r="E482" s="52"/>
      <c r="F482" s="52"/>
      <c r="G482" s="114">
        <f>SUM(G483:G486)</f>
        <v>2</v>
      </c>
      <c r="H482" s="52"/>
      <c r="I482" s="52"/>
      <c r="J482" s="52"/>
      <c r="K482" s="1"/>
      <c r="M482" s="247">
        <v>2</v>
      </c>
      <c r="N482" s="113">
        <f>M482-G482</f>
        <v>0</v>
      </c>
      <c r="O482" s="248">
        <f>N482/M482</f>
        <v>0</v>
      </c>
    </row>
    <row r="483" spans="1:15" x14ac:dyDescent="0.25">
      <c r="A483" s="55" t="s">
        <v>192</v>
      </c>
      <c r="B483" s="108"/>
      <c r="C483" s="57"/>
      <c r="D483" s="74"/>
      <c r="E483" s="74"/>
      <c r="F483" s="74"/>
      <c r="G483" s="73"/>
      <c r="H483" s="57"/>
      <c r="I483" s="57"/>
      <c r="J483" s="74"/>
      <c r="K483" s="59"/>
      <c r="M483" s="245"/>
      <c r="N483" s="24" t="s">
        <v>41</v>
      </c>
      <c r="O483" s="246"/>
    </row>
    <row r="484" spans="1:15" x14ac:dyDescent="0.25">
      <c r="A484" s="371" t="s">
        <v>193</v>
      </c>
      <c r="B484" s="108"/>
      <c r="C484" s="57"/>
      <c r="D484" s="74"/>
      <c r="E484" s="74"/>
      <c r="F484" s="74"/>
      <c r="G484" s="73"/>
      <c r="H484" s="57"/>
      <c r="I484" s="57"/>
      <c r="J484" s="74"/>
      <c r="K484" s="59"/>
      <c r="M484" s="245"/>
      <c r="N484" s="24"/>
      <c r="O484" s="246"/>
    </row>
    <row r="485" spans="1:15" x14ac:dyDescent="0.25">
      <c r="A485" s="55" t="s">
        <v>194</v>
      </c>
      <c r="B485" s="123"/>
      <c r="C485" s="67"/>
      <c r="D485" s="124"/>
      <c r="E485" s="124"/>
      <c r="F485" s="124"/>
      <c r="G485" s="68">
        <v>1</v>
      </c>
      <c r="H485" s="67"/>
      <c r="I485" s="67"/>
      <c r="J485" s="124"/>
      <c r="K485" s="69"/>
      <c r="M485" s="245"/>
      <c r="N485" s="24" t="s">
        <v>41</v>
      </c>
      <c r="O485" s="246"/>
    </row>
    <row r="486" spans="1:15" x14ac:dyDescent="0.25">
      <c r="A486" s="55" t="s">
        <v>195</v>
      </c>
      <c r="B486" s="108"/>
      <c r="C486" s="57"/>
      <c r="D486" s="74"/>
      <c r="E486" s="74"/>
      <c r="F486" s="74"/>
      <c r="G486" s="68">
        <v>1</v>
      </c>
      <c r="H486" s="57"/>
      <c r="I486" s="57"/>
      <c r="J486" s="74"/>
      <c r="K486" s="59"/>
      <c r="M486" s="245"/>
      <c r="N486" s="24"/>
      <c r="O486" s="246"/>
    </row>
    <row r="487" spans="1:15" ht="25.5" x14ac:dyDescent="0.25">
      <c r="A487" s="51" t="s">
        <v>81</v>
      </c>
      <c r="B487" s="107" t="s">
        <v>1</v>
      </c>
      <c r="C487" s="52"/>
      <c r="D487" s="52"/>
      <c r="E487" s="52"/>
      <c r="F487" s="52"/>
      <c r="G487" s="114">
        <f>SUM(G488:G491)</f>
        <v>3</v>
      </c>
      <c r="H487" s="52"/>
      <c r="I487" s="52"/>
      <c r="J487" s="52"/>
      <c r="K487" s="1"/>
      <c r="M487" s="247">
        <v>3</v>
      </c>
      <c r="N487" s="113">
        <f>M487-G487</f>
        <v>0</v>
      </c>
      <c r="O487" s="248">
        <f>N487/M487</f>
        <v>0</v>
      </c>
    </row>
    <row r="488" spans="1:15" x14ac:dyDescent="0.25">
      <c r="A488" s="55" t="s">
        <v>192</v>
      </c>
      <c r="B488" s="108"/>
      <c r="C488" s="57"/>
      <c r="D488" s="74"/>
      <c r="E488" s="74"/>
      <c r="F488" s="74"/>
      <c r="G488" s="73"/>
      <c r="H488" s="57"/>
      <c r="I488" s="57"/>
      <c r="J488" s="74"/>
      <c r="K488" s="59"/>
      <c r="M488" s="245"/>
      <c r="N488" s="24" t="s">
        <v>41</v>
      </c>
      <c r="O488" s="246"/>
    </row>
    <row r="489" spans="1:15" x14ac:dyDescent="0.25">
      <c r="A489" s="371" t="s">
        <v>193</v>
      </c>
      <c r="B489" s="108"/>
      <c r="C489" s="57"/>
      <c r="D489" s="74"/>
      <c r="E489" s="74"/>
      <c r="F489" s="74"/>
      <c r="G489" s="73"/>
      <c r="H489" s="57"/>
      <c r="I489" s="57"/>
      <c r="J489" s="74"/>
      <c r="K489" s="59"/>
      <c r="M489" s="245"/>
      <c r="N489" s="24"/>
      <c r="O489" s="246"/>
    </row>
    <row r="490" spans="1:15" x14ac:dyDescent="0.25">
      <c r="A490" s="55" t="s">
        <v>194</v>
      </c>
      <c r="B490" s="123"/>
      <c r="C490" s="67"/>
      <c r="D490" s="124"/>
      <c r="E490" s="124"/>
      <c r="F490" s="124"/>
      <c r="G490" s="68">
        <v>2</v>
      </c>
      <c r="H490" s="67"/>
      <c r="I490" s="67"/>
      <c r="J490" s="124"/>
      <c r="K490" s="69"/>
      <c r="M490" s="245"/>
      <c r="N490" s="24" t="s">
        <v>41</v>
      </c>
      <c r="O490" s="246"/>
    </row>
    <row r="491" spans="1:15" x14ac:dyDescent="0.25">
      <c r="A491" s="55" t="s">
        <v>195</v>
      </c>
      <c r="B491" s="108"/>
      <c r="C491" s="57"/>
      <c r="D491" s="74"/>
      <c r="E491" s="74"/>
      <c r="F491" s="74"/>
      <c r="G491" s="68">
        <v>1</v>
      </c>
      <c r="H491" s="57"/>
      <c r="I491" s="57"/>
      <c r="J491" s="74"/>
      <c r="K491" s="59"/>
      <c r="M491" s="245"/>
      <c r="N491" s="24"/>
      <c r="O491" s="246"/>
    </row>
    <row r="492" spans="1:15" ht="25.5" x14ac:dyDescent="0.25">
      <c r="A492" s="51" t="s">
        <v>82</v>
      </c>
      <c r="B492" s="107" t="s">
        <v>1</v>
      </c>
      <c r="C492" s="52"/>
      <c r="D492" s="52"/>
      <c r="E492" s="52"/>
      <c r="F492" s="52"/>
      <c r="G492" s="114">
        <f>SUM(G493:G496)</f>
        <v>2</v>
      </c>
      <c r="H492" s="52"/>
      <c r="I492" s="52"/>
      <c r="J492" s="52"/>
      <c r="K492" s="1"/>
      <c r="M492" s="247">
        <v>2</v>
      </c>
      <c r="N492" s="113">
        <f>M492-G492</f>
        <v>0</v>
      </c>
      <c r="O492" s="248">
        <f>N492/M492</f>
        <v>0</v>
      </c>
    </row>
    <row r="493" spans="1:15" x14ac:dyDescent="0.25">
      <c r="A493" s="55" t="s">
        <v>192</v>
      </c>
      <c r="B493" s="108"/>
      <c r="C493" s="57"/>
      <c r="D493" s="74"/>
      <c r="E493" s="74"/>
      <c r="F493" s="74"/>
      <c r="G493" s="73"/>
      <c r="H493" s="57"/>
      <c r="I493" s="57"/>
      <c r="J493" s="74"/>
      <c r="K493" s="59"/>
      <c r="M493" s="245"/>
      <c r="N493" s="24" t="s">
        <v>41</v>
      </c>
      <c r="O493" s="246"/>
    </row>
    <row r="494" spans="1:15" x14ac:dyDescent="0.25">
      <c r="A494" s="371" t="s">
        <v>193</v>
      </c>
      <c r="B494" s="108"/>
      <c r="C494" s="57"/>
      <c r="D494" s="74"/>
      <c r="E494" s="74"/>
      <c r="F494" s="74"/>
      <c r="G494" s="73"/>
      <c r="H494" s="57"/>
      <c r="I494" s="57"/>
      <c r="J494" s="74"/>
      <c r="K494" s="59"/>
      <c r="M494" s="245"/>
      <c r="N494" s="24"/>
      <c r="O494" s="246"/>
    </row>
    <row r="495" spans="1:15" x14ac:dyDescent="0.25">
      <c r="A495" s="55" t="s">
        <v>194</v>
      </c>
      <c r="B495" s="123"/>
      <c r="C495" s="67"/>
      <c r="D495" s="124"/>
      <c r="E495" s="124"/>
      <c r="F495" s="124"/>
      <c r="G495" s="68">
        <v>1</v>
      </c>
      <c r="H495" s="67"/>
      <c r="I495" s="67"/>
      <c r="J495" s="124"/>
      <c r="K495" s="69"/>
      <c r="M495" s="245"/>
      <c r="N495" s="24" t="s">
        <v>41</v>
      </c>
      <c r="O495" s="246"/>
    </row>
    <row r="496" spans="1:15" x14ac:dyDescent="0.25">
      <c r="A496" s="55" t="s">
        <v>195</v>
      </c>
      <c r="B496" s="108"/>
      <c r="C496" s="57"/>
      <c r="D496" s="74"/>
      <c r="E496" s="74"/>
      <c r="F496" s="74"/>
      <c r="G496" s="68">
        <v>1</v>
      </c>
      <c r="H496" s="57"/>
      <c r="I496" s="57"/>
      <c r="J496" s="74"/>
      <c r="K496" s="59"/>
      <c r="M496" s="245"/>
      <c r="N496" s="24"/>
      <c r="O496" s="246"/>
    </row>
    <row r="497" spans="1:15" ht="25.5" x14ac:dyDescent="0.25">
      <c r="A497" s="51" t="s">
        <v>84</v>
      </c>
      <c r="B497" s="107" t="s">
        <v>1</v>
      </c>
      <c r="C497" s="52"/>
      <c r="D497" s="52"/>
      <c r="E497" s="52"/>
      <c r="F497" s="52"/>
      <c r="G497" s="114">
        <f>SUM(G498:G501)</f>
        <v>1</v>
      </c>
      <c r="H497" s="52"/>
      <c r="I497" s="52"/>
      <c r="J497" s="52"/>
      <c r="K497" s="1"/>
      <c r="M497" s="247">
        <v>1</v>
      </c>
      <c r="N497" s="113">
        <f>M497-G497</f>
        <v>0</v>
      </c>
      <c r="O497" s="248">
        <f>N497/M497</f>
        <v>0</v>
      </c>
    </row>
    <row r="498" spans="1:15" x14ac:dyDescent="0.25">
      <c r="A498" s="55" t="s">
        <v>192</v>
      </c>
      <c r="B498" s="108"/>
      <c r="C498" s="57"/>
      <c r="D498" s="74"/>
      <c r="E498" s="74"/>
      <c r="F498" s="74"/>
      <c r="G498" s="73"/>
      <c r="H498" s="57"/>
      <c r="I498" s="57"/>
      <c r="J498" s="74"/>
      <c r="K498" s="59"/>
      <c r="M498" s="245"/>
      <c r="N498" s="24" t="s">
        <v>41</v>
      </c>
      <c r="O498" s="246"/>
    </row>
    <row r="499" spans="1:15" x14ac:dyDescent="0.25">
      <c r="A499" s="371" t="s">
        <v>193</v>
      </c>
      <c r="B499" s="108"/>
      <c r="C499" s="57"/>
      <c r="D499" s="74"/>
      <c r="E499" s="74"/>
      <c r="F499" s="74"/>
      <c r="G499" s="73"/>
      <c r="H499" s="57"/>
      <c r="I499" s="57"/>
      <c r="J499" s="74"/>
      <c r="K499" s="59"/>
      <c r="M499" s="245"/>
      <c r="N499" s="24"/>
      <c r="O499" s="246"/>
    </row>
    <row r="500" spans="1:15" x14ac:dyDescent="0.25">
      <c r="A500" s="55" t="s">
        <v>194</v>
      </c>
      <c r="B500" s="123"/>
      <c r="C500" s="67"/>
      <c r="D500" s="124"/>
      <c r="E500" s="124"/>
      <c r="F500" s="124"/>
      <c r="G500" s="68"/>
      <c r="H500" s="67"/>
      <c r="I500" s="67"/>
      <c r="J500" s="124"/>
      <c r="K500" s="69"/>
      <c r="M500" s="245"/>
      <c r="N500" s="24" t="s">
        <v>41</v>
      </c>
      <c r="O500" s="246"/>
    </row>
    <row r="501" spans="1:15" x14ac:dyDescent="0.25">
      <c r="A501" s="55" t="s">
        <v>195</v>
      </c>
      <c r="B501" s="108"/>
      <c r="C501" s="57"/>
      <c r="D501" s="74"/>
      <c r="E501" s="74"/>
      <c r="F501" s="74"/>
      <c r="G501" s="68">
        <v>1</v>
      </c>
      <c r="H501" s="57"/>
      <c r="I501" s="57"/>
      <c r="J501" s="74"/>
      <c r="K501" s="59"/>
      <c r="M501" s="245"/>
      <c r="N501" s="24"/>
      <c r="O501" s="246"/>
    </row>
    <row r="502" spans="1:15" ht="25.5" x14ac:dyDescent="0.25">
      <c r="A502" s="51" t="s">
        <v>85</v>
      </c>
      <c r="B502" s="107" t="s">
        <v>1</v>
      </c>
      <c r="C502" s="52"/>
      <c r="D502" s="52"/>
      <c r="E502" s="52"/>
      <c r="F502" s="52"/>
      <c r="G502" s="114">
        <f>SUM(G503:G506)</f>
        <v>6</v>
      </c>
      <c r="H502" s="52"/>
      <c r="I502" s="52"/>
      <c r="J502" s="52"/>
      <c r="K502" s="1"/>
      <c r="M502" s="247">
        <v>6</v>
      </c>
      <c r="N502" s="113">
        <f>M502-G502</f>
        <v>0</v>
      </c>
      <c r="O502" s="248">
        <f>N502/M502</f>
        <v>0</v>
      </c>
    </row>
    <row r="503" spans="1:15" x14ac:dyDescent="0.25">
      <c r="A503" s="55" t="s">
        <v>192</v>
      </c>
      <c r="B503" s="108"/>
      <c r="C503" s="57"/>
      <c r="D503" s="74"/>
      <c r="E503" s="74"/>
      <c r="F503" s="74"/>
      <c r="G503" s="73">
        <v>2</v>
      </c>
      <c r="H503" s="57"/>
      <c r="I503" s="57"/>
      <c r="J503" s="74"/>
      <c r="K503" s="59"/>
      <c r="M503" s="245"/>
      <c r="N503" s="24" t="s">
        <v>41</v>
      </c>
      <c r="O503" s="246"/>
    </row>
    <row r="504" spans="1:15" x14ac:dyDescent="0.25">
      <c r="A504" s="371" t="s">
        <v>193</v>
      </c>
      <c r="B504" s="108"/>
      <c r="C504" s="57"/>
      <c r="D504" s="74"/>
      <c r="E504" s="74"/>
      <c r="F504" s="74"/>
      <c r="G504" s="73">
        <v>1</v>
      </c>
      <c r="H504" s="57"/>
      <c r="I504" s="57"/>
      <c r="J504" s="74"/>
      <c r="K504" s="59"/>
      <c r="M504" s="245"/>
      <c r="N504" s="24"/>
      <c r="O504" s="246"/>
    </row>
    <row r="505" spans="1:15" x14ac:dyDescent="0.25">
      <c r="A505" s="55" t="s">
        <v>194</v>
      </c>
      <c r="B505" s="123"/>
      <c r="C505" s="67"/>
      <c r="D505" s="124"/>
      <c r="E505" s="124"/>
      <c r="F505" s="124"/>
      <c r="G505" s="68">
        <v>2</v>
      </c>
      <c r="H505" s="67"/>
      <c r="I505" s="67"/>
      <c r="J505" s="124"/>
      <c r="K505" s="69"/>
      <c r="M505" s="245"/>
      <c r="N505" s="24" t="s">
        <v>41</v>
      </c>
      <c r="O505" s="246"/>
    </row>
    <row r="506" spans="1:15" x14ac:dyDescent="0.25">
      <c r="A506" s="55" t="s">
        <v>195</v>
      </c>
      <c r="B506" s="108"/>
      <c r="C506" s="57"/>
      <c r="D506" s="74"/>
      <c r="E506" s="74"/>
      <c r="F506" s="74"/>
      <c r="G506" s="68">
        <v>1</v>
      </c>
      <c r="H506" s="57"/>
      <c r="I506" s="57"/>
      <c r="J506" s="74"/>
      <c r="K506" s="59"/>
      <c r="M506" s="245"/>
      <c r="N506" s="24"/>
      <c r="O506" s="246"/>
    </row>
    <row r="507" spans="1:15" x14ac:dyDescent="0.25">
      <c r="A507" s="51" t="s">
        <v>86</v>
      </c>
      <c r="B507" s="107" t="s">
        <v>1</v>
      </c>
      <c r="C507" s="52"/>
      <c r="D507" s="52"/>
      <c r="E507" s="52"/>
      <c r="F507" s="52"/>
      <c r="G507" s="114">
        <f>SUM(G508:G511)</f>
        <v>4</v>
      </c>
      <c r="H507" s="52"/>
      <c r="I507" s="52"/>
      <c r="J507" s="52"/>
      <c r="K507" s="1"/>
      <c r="M507" s="247">
        <v>4</v>
      </c>
      <c r="N507" s="113">
        <f>M507-G507</f>
        <v>0</v>
      </c>
      <c r="O507" s="248">
        <f>N507/M507</f>
        <v>0</v>
      </c>
    </row>
    <row r="508" spans="1:15" x14ac:dyDescent="0.25">
      <c r="A508" s="55" t="s">
        <v>192</v>
      </c>
      <c r="B508" s="108"/>
      <c r="C508" s="57"/>
      <c r="D508" s="74"/>
      <c r="E508" s="74"/>
      <c r="F508" s="74"/>
      <c r="G508" s="73">
        <v>1</v>
      </c>
      <c r="H508" s="57"/>
      <c r="I508" s="57"/>
      <c r="J508" s="74"/>
      <c r="K508" s="59"/>
      <c r="M508" s="245"/>
      <c r="N508" s="24" t="s">
        <v>41</v>
      </c>
      <c r="O508" s="246"/>
    </row>
    <row r="509" spans="1:15" x14ac:dyDescent="0.25">
      <c r="A509" s="371" t="s">
        <v>193</v>
      </c>
      <c r="B509" s="108"/>
      <c r="C509" s="57"/>
      <c r="D509" s="74"/>
      <c r="E509" s="74"/>
      <c r="F509" s="74"/>
      <c r="G509" s="73">
        <v>1</v>
      </c>
      <c r="H509" s="57"/>
      <c r="I509" s="57"/>
      <c r="J509" s="74"/>
      <c r="K509" s="59"/>
      <c r="M509" s="245"/>
      <c r="N509" s="24"/>
      <c r="O509" s="246"/>
    </row>
    <row r="510" spans="1:15" x14ac:dyDescent="0.25">
      <c r="A510" s="55" t="s">
        <v>194</v>
      </c>
      <c r="B510" s="123"/>
      <c r="C510" s="67"/>
      <c r="D510" s="124"/>
      <c r="E510" s="124"/>
      <c r="F510" s="124"/>
      <c r="G510" s="68">
        <v>1</v>
      </c>
      <c r="H510" s="67"/>
      <c r="I510" s="67"/>
      <c r="J510" s="124"/>
      <c r="K510" s="69"/>
      <c r="M510" s="245"/>
      <c r="N510" s="24" t="s">
        <v>41</v>
      </c>
      <c r="O510" s="246"/>
    </row>
    <row r="511" spans="1:15" ht="15.75" thickBot="1" x14ac:dyDescent="0.3">
      <c r="A511" s="75" t="s">
        <v>195</v>
      </c>
      <c r="B511" s="110"/>
      <c r="C511" s="77"/>
      <c r="D511" s="78"/>
      <c r="E511" s="78"/>
      <c r="F511" s="78"/>
      <c r="G511" s="125">
        <v>1</v>
      </c>
      <c r="H511" s="77"/>
      <c r="I511" s="77"/>
      <c r="J511" s="78"/>
      <c r="K511" s="81"/>
      <c r="M511" s="249"/>
      <c r="N511" s="250"/>
      <c r="O511" s="251"/>
    </row>
  </sheetData>
  <mergeCells count="1">
    <mergeCell ref="N2:O2"/>
  </mergeCells>
  <conditionalFormatting sqref="N22:O22 N24:O24 N50:O50 N53:O53 N3:O3 N8:O8 N111:O111 N165:O165 N181:O182 N185:O185 N190:O190 N253:O253 N195:O195 N238:O238 N290:O290 N297:O297 N369:O369 N412:O412 N416:O417 N382:O382 N380:O380 N420:O420 N427:O427 N432:O432 N437:O437 N442:O442 N447:O447 N462:O462 N457:O457 N472:O472 N467:O467 N487:O487 N482:O482 N477:O477 N502:O502 N497:O497 N492:O492 N452:O452 N507:O507 N338:O338 N386:O386">
    <cfRule type="cellIs" dxfId="29" priority="82" operator="equal">
      <formula>0</formula>
    </cfRule>
  </conditionalFormatting>
  <conditionalFormatting sqref="N17:O17">
    <cfRule type="cellIs" dxfId="28" priority="81" operator="equal">
      <formula>0</formula>
    </cfRule>
  </conditionalFormatting>
  <conditionalFormatting sqref="N11:O11">
    <cfRule type="cellIs" dxfId="27" priority="80" operator="equal">
      <formula>0</formula>
    </cfRule>
  </conditionalFormatting>
  <conditionalFormatting sqref="N33:O33">
    <cfRule type="cellIs" dxfId="26" priority="12" operator="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showGridLines="0" workbookViewId="0">
      <selection activeCell="J15" sqref="J15"/>
    </sheetView>
  </sheetViews>
  <sheetFormatPr defaultRowHeight="15" x14ac:dyDescent="0.25"/>
  <cols>
    <col min="1" max="1" width="20.42578125" bestFit="1" customWidth="1"/>
    <col min="2" max="2" width="3.140625" bestFit="1" customWidth="1"/>
    <col min="3" max="3" width="5.7109375" bestFit="1" customWidth="1"/>
    <col min="4" max="4" width="6" bestFit="1" customWidth="1"/>
    <col min="5" max="5" width="5.5703125" bestFit="1" customWidth="1"/>
    <col min="6" max="6" width="5.7109375" bestFit="1" customWidth="1"/>
    <col min="7" max="8" width="6.28515625" bestFit="1" customWidth="1"/>
    <col min="9" max="9" width="14.42578125" bestFit="1" customWidth="1"/>
  </cols>
  <sheetData>
    <row r="1" spans="1:9" ht="15.75" thickBot="1" x14ac:dyDescent="0.3">
      <c r="A1" s="132" t="s">
        <v>95</v>
      </c>
      <c r="B1" s="7"/>
      <c r="C1" s="131" t="s">
        <v>2</v>
      </c>
      <c r="D1" s="131" t="s">
        <v>3</v>
      </c>
      <c r="E1" s="9" t="s">
        <v>5</v>
      </c>
      <c r="F1" s="131" t="s">
        <v>6</v>
      </c>
      <c r="G1" s="131" t="s">
        <v>7</v>
      </c>
      <c r="H1" s="131" t="s">
        <v>8</v>
      </c>
      <c r="I1" s="10" t="s">
        <v>9</v>
      </c>
    </row>
    <row r="2" spans="1:9" x14ac:dyDescent="0.25">
      <c r="A2" s="82" t="s">
        <v>96</v>
      </c>
      <c r="B2" s="106" t="s">
        <v>10</v>
      </c>
      <c r="C2" s="112"/>
      <c r="D2" s="84"/>
      <c r="E2" s="85"/>
      <c r="F2" s="84"/>
      <c r="G2" s="86">
        <f>SUM(G3:G3)</f>
        <v>39.993676000000001</v>
      </c>
      <c r="H2" s="84"/>
      <c r="I2" s="140"/>
    </row>
    <row r="3" spans="1:9" x14ac:dyDescent="0.25">
      <c r="A3" s="141" t="s">
        <v>99</v>
      </c>
      <c r="B3" s="142"/>
      <c r="C3" s="143">
        <f>1.5+0.145+1.2+0.155+1.5+0.16+1.357+0.155+1.466+0.155</f>
        <v>7.793000000000001</v>
      </c>
      <c r="D3" s="144">
        <f>0.331+1.664+0.265+2.664+0.208</f>
        <v>5.1319999999999997</v>
      </c>
      <c r="E3" s="145"/>
      <c r="F3" s="143"/>
      <c r="G3" s="143">
        <f>D3*C3</f>
        <v>39.993676000000001</v>
      </c>
      <c r="H3" s="144"/>
      <c r="I3" s="146"/>
    </row>
    <row r="4" spans="1:9" x14ac:dyDescent="0.25">
      <c r="A4" s="91" t="s">
        <v>97</v>
      </c>
      <c r="B4" s="107" t="s">
        <v>10</v>
      </c>
      <c r="C4" s="147"/>
      <c r="D4" s="52"/>
      <c r="E4" s="53"/>
      <c r="F4" s="52"/>
      <c r="G4" s="54">
        <f>SUM(G5:G5)</f>
        <v>39.993676000000001</v>
      </c>
      <c r="H4" s="52"/>
      <c r="I4" s="148"/>
    </row>
    <row r="5" spans="1:9" x14ac:dyDescent="0.25">
      <c r="A5" s="141" t="s">
        <v>99</v>
      </c>
      <c r="B5" s="142"/>
      <c r="C5" s="143">
        <f>1.5+0.145+1.2+0.155+1.5+0.16+1.357+0.155+1.466+0.155</f>
        <v>7.793000000000001</v>
      </c>
      <c r="D5" s="144">
        <f>0.331+1.664+0.265+2.664+0.208</f>
        <v>5.1319999999999997</v>
      </c>
      <c r="E5" s="145"/>
      <c r="F5" s="149"/>
      <c r="G5" s="149">
        <f>D5*C5</f>
        <v>39.993676000000001</v>
      </c>
      <c r="H5" s="144"/>
      <c r="I5" s="146"/>
    </row>
    <row r="6" spans="1:9" x14ac:dyDescent="0.25">
      <c r="A6" s="91" t="s">
        <v>98</v>
      </c>
      <c r="B6" s="107" t="s">
        <v>10</v>
      </c>
      <c r="C6" s="147"/>
      <c r="D6" s="52"/>
      <c r="E6" s="53"/>
      <c r="F6" s="52"/>
      <c r="G6" s="54">
        <f>SUM(G7:G7)</f>
        <v>39.993676000000001</v>
      </c>
      <c r="H6" s="52"/>
      <c r="I6" s="148"/>
    </row>
    <row r="7" spans="1:9" ht="15.75" thickBot="1" x14ac:dyDescent="0.3">
      <c r="A7" s="133" t="s">
        <v>99</v>
      </c>
      <c r="B7" s="134"/>
      <c r="C7" s="135">
        <f>1.5+0.145+1.2+0.155+1.5+0.16+1.357+0.155+1.466+0.155</f>
        <v>7.793000000000001</v>
      </c>
      <c r="D7" s="136">
        <f>0.331+1.664+0.265+2.664+0.208</f>
        <v>5.1319999999999997</v>
      </c>
      <c r="E7" s="137"/>
      <c r="F7" s="138"/>
      <c r="G7" s="138">
        <f>D7*C7</f>
        <v>39.993676000000001</v>
      </c>
      <c r="H7" s="136"/>
      <c r="I7" s="139"/>
    </row>
  </sheetData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38"/>
  <sheetViews>
    <sheetView showGridLines="0" zoomScale="85" zoomScaleNormal="85" workbookViewId="0">
      <selection activeCell="G23" sqref="G23"/>
    </sheetView>
  </sheetViews>
  <sheetFormatPr defaultRowHeight="15" x14ac:dyDescent="0.25"/>
  <cols>
    <col min="1" max="1" width="7.5703125" customWidth="1"/>
    <col min="2" max="2" width="33.140625" bestFit="1" customWidth="1"/>
    <col min="3" max="3" width="12.5703125" bestFit="1" customWidth="1"/>
    <col min="4" max="4" width="5.28515625" bestFit="1" customWidth="1"/>
    <col min="5" max="5" width="9" bestFit="1" customWidth="1"/>
    <col min="6" max="6" width="8.28515625" bestFit="1" customWidth="1"/>
    <col min="7" max="7" width="8.85546875" bestFit="1" customWidth="1"/>
    <col min="8" max="8" width="9.5703125" bestFit="1" customWidth="1"/>
    <col min="9" max="9" width="8.42578125" bestFit="1" customWidth="1"/>
    <col min="10" max="10" width="2.42578125" customWidth="1"/>
    <col min="12" max="12" width="4.7109375" bestFit="1" customWidth="1"/>
    <col min="13" max="13" width="3.7109375" bestFit="1" customWidth="1"/>
    <col min="14" max="14" width="5.7109375" bestFit="1" customWidth="1"/>
    <col min="15" max="15" width="31.5703125" bestFit="1" customWidth="1"/>
    <col min="16" max="16" width="2.42578125" customWidth="1"/>
    <col min="17" max="17" width="12.85546875" customWidth="1"/>
    <col min="18" max="25" width="6.7109375" bestFit="1" customWidth="1"/>
    <col min="26" max="28" width="5.7109375" bestFit="1" customWidth="1"/>
    <col min="29" max="29" width="2.42578125" customWidth="1"/>
    <col min="30" max="30" width="10.7109375" bestFit="1" customWidth="1"/>
  </cols>
  <sheetData>
    <row r="1" spans="1:30" ht="15.75" thickBot="1" x14ac:dyDescent="0.3">
      <c r="A1" s="150"/>
      <c r="B1" s="6"/>
    </row>
    <row r="2" spans="1:30" ht="15.75" thickBot="1" x14ac:dyDescent="0.3">
      <c r="A2" s="151" t="s">
        <v>100</v>
      </c>
      <c r="B2" s="152"/>
      <c r="C2" s="153"/>
      <c r="D2" s="154"/>
      <c r="E2" s="155" t="s">
        <v>281</v>
      </c>
      <c r="F2" s="155" t="s">
        <v>282</v>
      </c>
      <c r="G2" s="155" t="s">
        <v>284</v>
      </c>
      <c r="H2" s="155" t="s">
        <v>283</v>
      </c>
      <c r="I2" s="157" t="s">
        <v>127</v>
      </c>
      <c r="K2" s="190" t="s">
        <v>101</v>
      </c>
      <c r="N2" s="616" t="s">
        <v>102</v>
      </c>
      <c r="O2" s="617"/>
      <c r="Q2" s="156" t="s">
        <v>103</v>
      </c>
      <c r="R2" s="153"/>
      <c r="S2" s="153"/>
      <c r="T2" s="153"/>
      <c r="U2" s="153"/>
      <c r="V2" s="153"/>
      <c r="W2" s="153"/>
      <c r="X2" s="153"/>
      <c r="Y2" s="153"/>
      <c r="Z2" s="153"/>
      <c r="AA2" s="153"/>
      <c r="AB2" s="287"/>
    </row>
    <row r="3" spans="1:30" ht="15.75" thickBot="1" x14ac:dyDescent="0.3">
      <c r="A3" s="273"/>
      <c r="B3" s="274" t="s">
        <v>104</v>
      </c>
      <c r="C3" s="275" t="s">
        <v>309</v>
      </c>
      <c r="D3" s="276" t="s">
        <v>33</v>
      </c>
      <c r="E3" s="278">
        <f>E17</f>
        <v>21.197099999999999</v>
      </c>
      <c r="F3" s="278">
        <f>F17</f>
        <v>12.598292999999998</v>
      </c>
      <c r="G3" s="278">
        <f>G17</f>
        <v>14.470500000000007</v>
      </c>
      <c r="H3" s="278">
        <f>H17</f>
        <v>20.907499999999999</v>
      </c>
      <c r="I3" s="279">
        <f>SUM(E3:H3)</f>
        <v>69.173393000000004</v>
      </c>
      <c r="K3" s="288">
        <f>I3*(1+N3)</f>
        <v>76.090732300000013</v>
      </c>
      <c r="N3" s="280" t="s">
        <v>105</v>
      </c>
      <c r="O3" s="281" t="s">
        <v>106</v>
      </c>
      <c r="Q3" s="158" t="s">
        <v>107</v>
      </c>
      <c r="R3" s="159" t="s">
        <v>33</v>
      </c>
      <c r="S3" s="160"/>
      <c r="T3" s="161"/>
      <c r="U3" s="161"/>
      <c r="V3" s="282"/>
      <c r="W3" s="282"/>
      <c r="X3" s="282"/>
      <c r="Y3" s="282"/>
      <c r="Z3" s="282"/>
      <c r="AA3" s="282"/>
      <c r="AB3" s="162"/>
    </row>
    <row r="4" spans="1:30" ht="15.75" thickBot="1" x14ac:dyDescent="0.3">
      <c r="A4" s="150"/>
      <c r="B4" s="6"/>
      <c r="Q4" s="285" t="s">
        <v>298</v>
      </c>
      <c r="R4" s="163"/>
      <c r="S4" s="163"/>
      <c r="T4" s="163"/>
      <c r="U4" s="163"/>
      <c r="V4" s="283"/>
      <c r="W4" s="283"/>
      <c r="X4" s="283"/>
      <c r="Y4" s="283"/>
      <c r="Z4" s="283"/>
      <c r="AA4" s="283"/>
      <c r="AB4" s="164"/>
    </row>
    <row r="5" spans="1:30" ht="15.75" thickBot="1" x14ac:dyDescent="0.3">
      <c r="A5" s="151" t="s">
        <v>108</v>
      </c>
      <c r="B5" s="152"/>
      <c r="C5" s="153"/>
      <c r="D5" s="154"/>
      <c r="E5" s="155" t="s">
        <v>281</v>
      </c>
      <c r="F5" s="155" t="s">
        <v>282</v>
      </c>
      <c r="G5" s="155" t="s">
        <v>284</v>
      </c>
      <c r="H5" s="155" t="s">
        <v>283</v>
      </c>
      <c r="I5" s="157" t="s">
        <v>127</v>
      </c>
      <c r="K5" s="190" t="s">
        <v>101</v>
      </c>
      <c r="N5" s="616" t="s">
        <v>102</v>
      </c>
      <c r="O5" s="617"/>
      <c r="Q5" s="528">
        <v>201</v>
      </c>
      <c r="R5" s="319"/>
      <c r="S5" s="319"/>
      <c r="T5" s="319"/>
      <c r="U5" s="529"/>
      <c r="V5" s="319"/>
      <c r="W5" s="319"/>
      <c r="X5" s="319"/>
      <c r="Y5" s="319"/>
      <c r="Z5" s="319"/>
      <c r="AA5" s="319"/>
      <c r="AB5" s="166"/>
      <c r="AD5" s="595" t="s">
        <v>177</v>
      </c>
    </row>
    <row r="6" spans="1:30" ht="15.75" thickBot="1" x14ac:dyDescent="0.3">
      <c r="A6" s="273"/>
      <c r="B6" s="274" t="s">
        <v>104</v>
      </c>
      <c r="C6" s="275" t="s">
        <v>309</v>
      </c>
      <c r="D6" s="276" t="s">
        <v>33</v>
      </c>
      <c r="E6" s="278">
        <f>E17</f>
        <v>21.197099999999999</v>
      </c>
      <c r="F6" s="278">
        <f>F17</f>
        <v>12.598292999999998</v>
      </c>
      <c r="G6" s="278">
        <f>G17</f>
        <v>14.470500000000007</v>
      </c>
      <c r="H6" s="278">
        <f>H17</f>
        <v>20.907499999999999</v>
      </c>
      <c r="I6" s="279">
        <f>SUM(E6:H6)</f>
        <v>69.173393000000004</v>
      </c>
      <c r="K6" s="288">
        <f>I6*(1+N6)</f>
        <v>76.090732300000013</v>
      </c>
      <c r="N6" s="280" t="s">
        <v>105</v>
      </c>
      <c r="O6" s="281" t="s">
        <v>106</v>
      </c>
      <c r="Q6" s="528">
        <v>26.55</v>
      </c>
      <c r="R6" s="530">
        <v>63.87</v>
      </c>
      <c r="S6" s="530">
        <v>146.91999999999999</v>
      </c>
      <c r="T6" s="530">
        <v>47.78</v>
      </c>
      <c r="U6" s="530">
        <v>40.11</v>
      </c>
      <c r="V6" s="530">
        <v>52.5</v>
      </c>
      <c r="W6" s="319"/>
      <c r="X6" s="319"/>
      <c r="Y6" s="319"/>
      <c r="Z6" s="319"/>
      <c r="AA6" s="319"/>
      <c r="AB6" s="166"/>
    </row>
    <row r="7" spans="1:30" ht="15.75" thickBot="1" x14ac:dyDescent="0.3">
      <c r="A7" s="150"/>
      <c r="B7" s="167"/>
      <c r="Q7" s="531"/>
      <c r="R7" s="319"/>
      <c r="S7" s="319"/>
      <c r="T7" s="319"/>
      <c r="U7" s="530">
        <v>7.02</v>
      </c>
      <c r="V7" s="319"/>
      <c r="W7" s="319"/>
      <c r="X7" s="319"/>
      <c r="Y7" s="319"/>
      <c r="Z7" s="319"/>
      <c r="AA7" s="319"/>
      <c r="AB7" s="166"/>
    </row>
    <row r="8" spans="1:30" ht="15.75" thickBot="1" x14ac:dyDescent="0.3">
      <c r="A8" s="151" t="s">
        <v>109</v>
      </c>
      <c r="B8" s="152"/>
      <c r="C8" s="153"/>
      <c r="D8" s="154"/>
      <c r="E8" s="155" t="s">
        <v>281</v>
      </c>
      <c r="F8" s="155" t="s">
        <v>282</v>
      </c>
      <c r="G8" s="155" t="s">
        <v>284</v>
      </c>
      <c r="H8" s="155" t="s">
        <v>283</v>
      </c>
      <c r="I8" s="265" t="s">
        <v>101</v>
      </c>
      <c r="K8" s="168" t="s">
        <v>38</v>
      </c>
      <c r="L8" s="614" t="s">
        <v>110</v>
      </c>
      <c r="M8" s="615"/>
      <c r="O8" s="169" t="s">
        <v>102</v>
      </c>
      <c r="Q8" s="531"/>
      <c r="R8" s="530">
        <v>137.31</v>
      </c>
      <c r="S8" s="530">
        <v>68.569999999999993</v>
      </c>
      <c r="T8" s="530">
        <v>97.37</v>
      </c>
      <c r="U8" s="530">
        <v>0.1193</v>
      </c>
      <c r="V8" s="319"/>
      <c r="W8" s="319"/>
      <c r="X8" s="319"/>
      <c r="Y8" s="319"/>
      <c r="Z8" s="319"/>
      <c r="AA8" s="319"/>
      <c r="AB8" s="166"/>
    </row>
    <row r="9" spans="1:30" x14ac:dyDescent="0.25">
      <c r="A9" s="170" t="s">
        <v>111</v>
      </c>
      <c r="B9" s="171" t="s">
        <v>112</v>
      </c>
      <c r="C9" s="172" t="s">
        <v>113</v>
      </c>
      <c r="D9" s="173" t="s">
        <v>1</v>
      </c>
      <c r="E9" s="174">
        <v>4</v>
      </c>
      <c r="F9" s="174">
        <v>2</v>
      </c>
      <c r="G9" s="174">
        <v>2</v>
      </c>
      <c r="H9" s="174">
        <v>4</v>
      </c>
      <c r="I9" s="175">
        <f>SUM(E9:H9)</f>
        <v>12</v>
      </c>
      <c r="K9" s="176">
        <v>12</v>
      </c>
      <c r="L9" s="174">
        <f>K9-I9</f>
        <v>0</v>
      </c>
      <c r="M9" s="177">
        <f>L9/K9</f>
        <v>0</v>
      </c>
      <c r="O9" s="241" t="s">
        <v>174</v>
      </c>
      <c r="Q9" s="531"/>
      <c r="R9" s="319"/>
      <c r="S9" s="530">
        <v>177.02</v>
      </c>
      <c r="T9" s="529"/>
      <c r="U9" s="530">
        <v>161.87</v>
      </c>
      <c r="V9" s="530">
        <v>7.01</v>
      </c>
      <c r="W9" s="319"/>
      <c r="X9" s="319"/>
      <c r="Y9" s="319"/>
      <c r="Z9" s="319"/>
      <c r="AA9" s="319"/>
      <c r="AB9" s="166"/>
    </row>
    <row r="10" spans="1:30" x14ac:dyDescent="0.25">
      <c r="A10" s="179" t="s">
        <v>114</v>
      </c>
      <c r="B10" s="180" t="s">
        <v>115</v>
      </c>
      <c r="C10" s="181" t="s">
        <v>116</v>
      </c>
      <c r="D10" s="182" t="s">
        <v>1</v>
      </c>
      <c r="E10" s="183">
        <v>9</v>
      </c>
      <c r="F10" s="183">
        <v>5</v>
      </c>
      <c r="G10" s="183">
        <v>7</v>
      </c>
      <c r="H10" s="183">
        <v>8</v>
      </c>
      <c r="I10" s="184">
        <f>SUM(E10:H10)</f>
        <v>29</v>
      </c>
      <c r="K10" s="185">
        <v>29</v>
      </c>
      <c r="L10" s="183">
        <f>K10-I10</f>
        <v>0</v>
      </c>
      <c r="M10" s="186">
        <f>L10/K10</f>
        <v>0</v>
      </c>
      <c r="O10" s="178"/>
      <c r="Q10" s="531"/>
      <c r="R10" s="319"/>
      <c r="S10" s="319"/>
      <c r="T10" s="319"/>
      <c r="U10" s="530">
        <v>12.88</v>
      </c>
      <c r="V10" s="530">
        <v>11.93</v>
      </c>
      <c r="W10" s="319"/>
      <c r="X10" s="319"/>
      <c r="Y10" s="319"/>
      <c r="Z10" s="319"/>
      <c r="AA10" s="319"/>
      <c r="AB10" s="166"/>
    </row>
    <row r="11" spans="1:30" x14ac:dyDescent="0.25">
      <c r="A11" s="170" t="s">
        <v>117</v>
      </c>
      <c r="B11" s="171" t="s">
        <v>118</v>
      </c>
      <c r="C11" s="172">
        <v>25</v>
      </c>
      <c r="D11" s="173" t="s">
        <v>1</v>
      </c>
      <c r="E11" s="174">
        <v>8</v>
      </c>
      <c r="F11" s="174">
        <v>5</v>
      </c>
      <c r="G11" s="174">
        <v>6</v>
      </c>
      <c r="H11" s="174">
        <v>9</v>
      </c>
      <c r="I11" s="175">
        <f>SUM(E11:H11)</f>
        <v>28</v>
      </c>
      <c r="K11" s="176">
        <v>28</v>
      </c>
      <c r="L11" s="174">
        <f>K11-I11</f>
        <v>0</v>
      </c>
      <c r="M11" s="177">
        <f>L11/K11</f>
        <v>0</v>
      </c>
      <c r="O11" s="178"/>
      <c r="Q11" s="285" t="s">
        <v>299</v>
      </c>
      <c r="R11" s="163"/>
      <c r="S11" s="163"/>
      <c r="T11" s="163"/>
      <c r="U11" s="163"/>
      <c r="V11" s="283"/>
      <c r="W11" s="283"/>
      <c r="X11" s="283"/>
      <c r="Y11" s="283"/>
      <c r="Z11" s="283"/>
      <c r="AA11" s="283"/>
      <c r="AB11" s="164"/>
    </row>
    <row r="12" spans="1:30" x14ac:dyDescent="0.25">
      <c r="A12" s="179" t="s">
        <v>125</v>
      </c>
      <c r="B12" s="180" t="s">
        <v>126</v>
      </c>
      <c r="C12" s="181" t="s">
        <v>116</v>
      </c>
      <c r="D12" s="182" t="s">
        <v>1</v>
      </c>
      <c r="E12" s="183">
        <v>1</v>
      </c>
      <c r="F12" s="183">
        <v>0</v>
      </c>
      <c r="G12" s="183">
        <v>1</v>
      </c>
      <c r="H12" s="183">
        <v>1</v>
      </c>
      <c r="I12" s="184">
        <f>SUM(E12:H12)</f>
        <v>3</v>
      </c>
      <c r="K12" s="185">
        <v>3</v>
      </c>
      <c r="L12" s="183">
        <f>K12-I12</f>
        <v>0</v>
      </c>
      <c r="M12" s="186">
        <f>L12/K12</f>
        <v>0</v>
      </c>
      <c r="O12" s="178"/>
      <c r="Q12" s="528">
        <v>231.11</v>
      </c>
      <c r="R12" s="319"/>
      <c r="S12" s="319"/>
      <c r="T12" s="319"/>
      <c r="U12" s="319"/>
      <c r="V12" s="319"/>
      <c r="W12" s="319"/>
      <c r="X12" s="319"/>
      <c r="Y12" s="319"/>
      <c r="Z12" s="319"/>
      <c r="AA12" s="319"/>
      <c r="AB12" s="166"/>
      <c r="AC12" s="533"/>
    </row>
    <row r="13" spans="1:30" ht="15.75" thickBot="1" x14ac:dyDescent="0.3">
      <c r="A13" s="170" t="s">
        <v>119</v>
      </c>
      <c r="B13" s="171" t="s">
        <v>120</v>
      </c>
      <c r="C13" s="172">
        <v>25</v>
      </c>
      <c r="D13" s="173" t="s">
        <v>1</v>
      </c>
      <c r="E13" s="174">
        <v>7</v>
      </c>
      <c r="F13" s="174">
        <v>3</v>
      </c>
      <c r="G13" s="174">
        <v>6</v>
      </c>
      <c r="H13" s="174">
        <v>9</v>
      </c>
      <c r="I13" s="175">
        <f>SUM(E13:H13)</f>
        <v>25</v>
      </c>
      <c r="K13" s="176">
        <v>25</v>
      </c>
      <c r="L13" s="174">
        <f>K13-I13</f>
        <v>0</v>
      </c>
      <c r="M13" s="177">
        <f>L13/K13</f>
        <v>0</v>
      </c>
      <c r="O13" s="178"/>
      <c r="Q13" s="528">
        <v>26.55</v>
      </c>
      <c r="R13" s="530">
        <v>272.62</v>
      </c>
      <c r="S13" s="530">
        <v>26.46</v>
      </c>
      <c r="T13" s="319"/>
      <c r="U13" s="319"/>
      <c r="V13" s="319"/>
      <c r="W13" s="319"/>
      <c r="X13" s="319"/>
      <c r="Y13" s="319"/>
      <c r="Z13" s="319"/>
      <c r="AA13" s="319"/>
      <c r="AB13" s="166"/>
      <c r="AC13" s="533"/>
    </row>
    <row r="14" spans="1:30" ht="15.75" thickBot="1" x14ac:dyDescent="0.3">
      <c r="A14" s="151" t="s">
        <v>121</v>
      </c>
      <c r="B14" s="153"/>
      <c r="C14" s="153"/>
      <c r="D14" s="154"/>
      <c r="E14" s="155" t="s">
        <v>281</v>
      </c>
      <c r="F14" s="155" t="s">
        <v>282</v>
      </c>
      <c r="G14" s="155" t="s">
        <v>284</v>
      </c>
      <c r="H14" s="155" t="s">
        <v>283</v>
      </c>
      <c r="I14" s="265" t="s">
        <v>101</v>
      </c>
      <c r="K14" s="168" t="s">
        <v>38</v>
      </c>
      <c r="L14" s="614" t="s">
        <v>110</v>
      </c>
      <c r="M14" s="615"/>
      <c r="O14" s="169" t="s">
        <v>102</v>
      </c>
      <c r="Q14" s="531"/>
      <c r="R14" s="319"/>
      <c r="S14" s="530">
        <v>16.55</v>
      </c>
      <c r="T14" s="319"/>
      <c r="U14" s="319"/>
      <c r="V14" s="319"/>
      <c r="W14" s="319"/>
      <c r="X14" s="319"/>
      <c r="Y14" s="319"/>
      <c r="Z14" s="319"/>
      <c r="AA14" s="319"/>
      <c r="AB14" s="166"/>
      <c r="AC14" s="533"/>
    </row>
    <row r="15" spans="1:30" ht="15.75" thickBot="1" x14ac:dyDescent="0.3">
      <c r="A15" s="170" t="s">
        <v>94</v>
      </c>
      <c r="B15" s="171" t="s">
        <v>122</v>
      </c>
      <c r="C15" s="172" t="s">
        <v>123</v>
      </c>
      <c r="D15" s="173" t="s">
        <v>1</v>
      </c>
      <c r="E15" s="174">
        <v>2</v>
      </c>
      <c r="F15" s="174">
        <v>1</v>
      </c>
      <c r="G15" s="174">
        <v>1</v>
      </c>
      <c r="H15" s="174">
        <v>2</v>
      </c>
      <c r="I15" s="175">
        <f>SUM(E15:H15)</f>
        <v>6</v>
      </c>
      <c r="K15" s="176">
        <v>6</v>
      </c>
      <c r="L15" s="174">
        <f>K15-I15</f>
        <v>0</v>
      </c>
      <c r="M15" s="177">
        <f>L15/K15</f>
        <v>0</v>
      </c>
      <c r="O15" s="178"/>
      <c r="Q15" s="528">
        <v>46.93</v>
      </c>
      <c r="R15" s="530">
        <v>49.22</v>
      </c>
      <c r="S15" s="319"/>
      <c r="T15" s="530">
        <v>49.22</v>
      </c>
      <c r="U15" s="530">
        <v>46.93</v>
      </c>
      <c r="V15" s="319"/>
      <c r="W15" s="319"/>
      <c r="X15" s="319"/>
      <c r="Y15" s="319"/>
      <c r="Z15" s="319"/>
      <c r="AA15" s="319"/>
      <c r="AB15" s="166"/>
      <c r="AC15" s="533"/>
    </row>
    <row r="16" spans="1:30" ht="15.75" thickBot="1" x14ac:dyDescent="0.3">
      <c r="A16" s="151" t="s">
        <v>124</v>
      </c>
      <c r="B16" s="152"/>
      <c r="C16" s="153"/>
      <c r="D16" s="154"/>
      <c r="E16" s="155" t="s">
        <v>281</v>
      </c>
      <c r="F16" s="155" t="s">
        <v>282</v>
      </c>
      <c r="G16" s="155" t="s">
        <v>284</v>
      </c>
      <c r="H16" s="155" t="s">
        <v>283</v>
      </c>
      <c r="I16" s="265" t="s">
        <v>101</v>
      </c>
      <c r="K16" s="168" t="s">
        <v>38</v>
      </c>
      <c r="L16" s="614" t="s">
        <v>110</v>
      </c>
      <c r="M16" s="615"/>
      <c r="O16" s="169" t="s">
        <v>102</v>
      </c>
      <c r="Q16" s="531"/>
      <c r="R16" s="530">
        <v>19.809999999999999</v>
      </c>
      <c r="S16" s="530">
        <v>28.39</v>
      </c>
      <c r="T16" s="530">
        <v>96.16</v>
      </c>
      <c r="U16" s="530">
        <v>96.4</v>
      </c>
      <c r="V16" s="530">
        <v>68.81</v>
      </c>
      <c r="W16" s="530">
        <v>219.6</v>
      </c>
      <c r="X16" s="530">
        <v>146.91999999999999</v>
      </c>
      <c r="Y16" s="530">
        <v>30.79</v>
      </c>
      <c r="Z16" s="530">
        <v>41.86</v>
      </c>
      <c r="AA16" s="530">
        <v>51.54</v>
      </c>
      <c r="AB16" s="166"/>
      <c r="AC16" s="533"/>
    </row>
    <row r="17" spans="1:29" ht="15.75" thickBot="1" x14ac:dyDescent="0.3">
      <c r="A17" s="273"/>
      <c r="B17" s="274" t="s">
        <v>104</v>
      </c>
      <c r="C17" s="275">
        <v>25</v>
      </c>
      <c r="D17" s="276" t="s">
        <v>33</v>
      </c>
      <c r="E17" s="278">
        <f>SUM(Q12:AB19)/100</f>
        <v>21.197099999999999</v>
      </c>
      <c r="F17" s="278">
        <f>SUM(Q5:AB10)/100</f>
        <v>12.598292999999998</v>
      </c>
      <c r="G17" s="278">
        <f>SUM(Q32:AB38)/100</f>
        <v>14.470500000000007</v>
      </c>
      <c r="H17" s="278">
        <f>SUM(Q21:AB30)/100</f>
        <v>20.907499999999999</v>
      </c>
      <c r="I17" s="279">
        <f>SUM(E17:H17)</f>
        <v>69.173393000000004</v>
      </c>
      <c r="K17" s="277">
        <v>69.17</v>
      </c>
      <c r="L17" s="278">
        <f>K17-I17</f>
        <v>-3.3930000000026439E-3</v>
      </c>
      <c r="M17" s="272">
        <f>L17/K17</f>
        <v>-4.9053057684005257E-5</v>
      </c>
      <c r="O17" s="187"/>
      <c r="Q17" s="531"/>
      <c r="R17" s="319"/>
      <c r="S17" s="319"/>
      <c r="T17" s="530">
        <v>161.96</v>
      </c>
      <c r="U17" s="530">
        <v>177.02</v>
      </c>
      <c r="V17" s="530">
        <v>177.02</v>
      </c>
      <c r="W17" s="319"/>
      <c r="X17" s="319"/>
      <c r="Y17" s="319"/>
      <c r="Z17" s="530">
        <v>7.02</v>
      </c>
      <c r="AA17" s="319"/>
      <c r="AB17" s="166"/>
      <c r="AC17" s="533"/>
    </row>
    <row r="18" spans="1:29" x14ac:dyDescent="0.25">
      <c r="Q18" s="531"/>
      <c r="R18" s="319"/>
      <c r="S18" s="530">
        <v>7.01</v>
      </c>
      <c r="T18" s="530">
        <v>11.88</v>
      </c>
      <c r="U18" s="319"/>
      <c r="V18" s="319"/>
      <c r="W18" s="319"/>
      <c r="X18" s="319"/>
      <c r="Y18" s="319"/>
      <c r="Z18" s="319"/>
      <c r="AA18" s="319"/>
      <c r="AB18" s="166"/>
      <c r="AC18" s="533"/>
    </row>
    <row r="19" spans="1:29" x14ac:dyDescent="0.25">
      <c r="Q19" s="531"/>
      <c r="R19" s="319"/>
      <c r="S19" s="530">
        <v>11.93</v>
      </c>
      <c r="T19" s="319"/>
      <c r="U19" s="319"/>
      <c r="V19" s="319"/>
      <c r="W19" s="319"/>
      <c r="X19" s="319"/>
      <c r="Y19" s="319"/>
      <c r="Z19" s="319"/>
      <c r="AA19" s="319"/>
      <c r="AB19" s="166"/>
      <c r="AC19" s="533"/>
    </row>
    <row r="20" spans="1:29" x14ac:dyDescent="0.25">
      <c r="Q20" s="285" t="s">
        <v>301</v>
      </c>
      <c r="R20" s="163"/>
      <c r="S20" s="163"/>
      <c r="T20" s="163"/>
      <c r="U20" s="163"/>
      <c r="V20" s="283"/>
      <c r="W20" s="283"/>
      <c r="X20" s="283"/>
      <c r="Y20" s="283"/>
      <c r="Z20" s="283"/>
      <c r="AA20" s="283"/>
      <c r="AB20" s="164"/>
      <c r="AC20" s="533"/>
    </row>
    <row r="21" spans="1:29" x14ac:dyDescent="0.25">
      <c r="Q21" s="535">
        <v>224.15</v>
      </c>
      <c r="R21" s="529"/>
      <c r="S21" s="529"/>
      <c r="T21" s="529"/>
      <c r="U21" s="529"/>
      <c r="V21" s="319"/>
      <c r="W21" s="319"/>
      <c r="X21" s="319"/>
      <c r="Y21" s="319"/>
      <c r="Z21" s="319"/>
      <c r="AA21" s="319"/>
      <c r="AB21" s="166"/>
    </row>
    <row r="22" spans="1:29" x14ac:dyDescent="0.25">
      <c r="Q22" s="535">
        <v>26.55</v>
      </c>
      <c r="R22" s="532">
        <v>321.97000000000003</v>
      </c>
      <c r="S22" s="532">
        <v>26.46</v>
      </c>
      <c r="T22" s="529"/>
      <c r="U22" s="529"/>
      <c r="V22" s="529"/>
      <c r="W22" s="529"/>
      <c r="X22" s="319"/>
      <c r="Y22" s="319"/>
      <c r="Z22" s="319"/>
      <c r="AA22" s="319"/>
      <c r="AB22" s="166"/>
    </row>
    <row r="23" spans="1:29" x14ac:dyDescent="0.25">
      <c r="Q23" s="536"/>
      <c r="R23" s="529"/>
      <c r="S23" s="532">
        <v>16.55</v>
      </c>
      <c r="T23" s="529"/>
      <c r="U23" s="529"/>
      <c r="V23" s="529"/>
      <c r="W23" s="529"/>
      <c r="X23" s="319"/>
      <c r="Y23" s="319"/>
      <c r="Z23" s="319"/>
      <c r="AA23" s="319"/>
      <c r="AB23" s="166"/>
    </row>
    <row r="24" spans="1:29" x14ac:dyDescent="0.25">
      <c r="Q24" s="536"/>
      <c r="R24" s="532">
        <v>47.97</v>
      </c>
      <c r="S24" s="529"/>
      <c r="T24" s="532">
        <v>28.27</v>
      </c>
      <c r="U24" s="529"/>
      <c r="V24" s="529"/>
      <c r="W24" s="529"/>
      <c r="X24" s="319"/>
      <c r="Y24" s="319"/>
      <c r="Z24" s="319"/>
      <c r="AA24" s="319"/>
      <c r="AB24" s="166"/>
    </row>
    <row r="25" spans="1:29" x14ac:dyDescent="0.25">
      <c r="Q25" s="536"/>
      <c r="R25" s="532">
        <v>46.93</v>
      </c>
      <c r="S25" s="529"/>
      <c r="T25" s="532">
        <v>46.93</v>
      </c>
      <c r="U25" s="529"/>
      <c r="V25" s="529"/>
      <c r="W25" s="529"/>
      <c r="X25" s="319"/>
      <c r="Y25" s="319"/>
      <c r="Z25" s="319"/>
      <c r="AA25" s="319"/>
      <c r="AB25" s="166"/>
    </row>
    <row r="26" spans="1:29" x14ac:dyDescent="0.25">
      <c r="Q26" s="536"/>
      <c r="R26" s="529"/>
      <c r="S26" s="529"/>
      <c r="T26" s="529"/>
      <c r="U26" s="529"/>
      <c r="V26" s="529"/>
      <c r="W26" s="529"/>
      <c r="X26" s="319"/>
      <c r="Y26" s="319"/>
      <c r="Z26" s="319"/>
      <c r="AA26" s="319"/>
      <c r="AB26" s="166"/>
    </row>
    <row r="27" spans="1:29" x14ac:dyDescent="0.25">
      <c r="Q27" s="536"/>
      <c r="R27" s="532">
        <v>19.809999999999999</v>
      </c>
      <c r="S27" s="532">
        <v>124.06</v>
      </c>
      <c r="T27" s="532">
        <v>139.07</v>
      </c>
      <c r="U27" s="529"/>
      <c r="V27" s="532">
        <v>29.81</v>
      </c>
      <c r="W27" s="532">
        <v>161.94</v>
      </c>
      <c r="X27" s="530">
        <v>59.33</v>
      </c>
      <c r="Y27" s="530">
        <v>146.91999999999999</v>
      </c>
      <c r="Z27" s="530">
        <v>9.74</v>
      </c>
      <c r="AA27" s="530">
        <v>41.76</v>
      </c>
      <c r="AB27" s="534">
        <v>32.96</v>
      </c>
    </row>
    <row r="28" spans="1:29" x14ac:dyDescent="0.25">
      <c r="Q28" s="536"/>
      <c r="R28" s="529"/>
      <c r="S28" s="532">
        <v>161.96</v>
      </c>
      <c r="T28" s="529"/>
      <c r="U28" s="532">
        <v>161.93</v>
      </c>
      <c r="V28" s="529"/>
      <c r="W28" s="532">
        <v>147.02000000000001</v>
      </c>
      <c r="X28" s="319"/>
      <c r="Y28" s="319"/>
      <c r="Z28" s="319"/>
      <c r="AA28" s="530">
        <v>7.02</v>
      </c>
      <c r="AB28" s="166"/>
    </row>
    <row r="29" spans="1:29" x14ac:dyDescent="0.25">
      <c r="Q29" s="536"/>
      <c r="R29" s="532">
        <v>7.01</v>
      </c>
      <c r="S29" s="532">
        <v>11.88</v>
      </c>
      <c r="T29" s="532">
        <v>7.01</v>
      </c>
      <c r="U29" s="532">
        <v>11.88</v>
      </c>
      <c r="V29" s="529"/>
      <c r="W29" s="529"/>
      <c r="X29" s="319"/>
      <c r="Y29" s="319"/>
      <c r="Z29" s="319"/>
      <c r="AA29" s="319"/>
      <c r="AB29" s="166"/>
    </row>
    <row r="30" spans="1:29" x14ac:dyDescent="0.25">
      <c r="Q30" s="536"/>
      <c r="R30" s="532">
        <v>11.93</v>
      </c>
      <c r="S30" s="529"/>
      <c r="T30" s="532">
        <v>11.93</v>
      </c>
      <c r="U30" s="529"/>
      <c r="V30" s="529"/>
      <c r="W30" s="529"/>
      <c r="X30" s="319"/>
      <c r="Y30" s="319"/>
      <c r="Z30" s="319"/>
      <c r="AA30" s="319"/>
      <c r="AB30" s="166"/>
    </row>
    <row r="31" spans="1:29" x14ac:dyDescent="0.25">
      <c r="Q31" s="285" t="s">
        <v>300</v>
      </c>
      <c r="R31" s="163"/>
      <c r="S31" s="163"/>
      <c r="T31" s="163"/>
      <c r="U31" s="163"/>
      <c r="V31" s="283"/>
      <c r="W31" s="283"/>
      <c r="X31" s="283"/>
      <c r="Y31" s="283"/>
      <c r="Z31" s="283"/>
      <c r="AA31" s="283"/>
      <c r="AB31" s="164"/>
    </row>
    <row r="32" spans="1:29" x14ac:dyDescent="0.25">
      <c r="Q32" s="239">
        <v>224.15</v>
      </c>
      <c r="R32" s="165"/>
      <c r="S32" s="165"/>
      <c r="T32" s="165"/>
      <c r="U32" s="165"/>
      <c r="V32" s="284"/>
      <c r="W32" s="284"/>
      <c r="X32" s="284"/>
      <c r="Y32" s="284"/>
      <c r="Z32" s="284"/>
      <c r="AA32" s="284"/>
      <c r="AB32" s="166"/>
    </row>
    <row r="33" spans="17:28" x14ac:dyDescent="0.25">
      <c r="Q33" s="535">
        <v>26.55</v>
      </c>
      <c r="R33" s="529"/>
      <c r="S33" s="529"/>
      <c r="T33" s="529"/>
      <c r="U33" s="529"/>
      <c r="V33" s="319"/>
      <c r="W33" s="319"/>
      <c r="X33" s="284"/>
      <c r="Y33" s="284"/>
      <c r="Z33" s="284"/>
      <c r="AA33" s="284"/>
      <c r="AB33" s="166"/>
    </row>
    <row r="34" spans="17:28" x14ac:dyDescent="0.25">
      <c r="Q34" s="536"/>
      <c r="R34" s="532">
        <v>35.32</v>
      </c>
      <c r="S34" s="532">
        <v>129.32</v>
      </c>
      <c r="T34" s="529"/>
      <c r="U34" s="532">
        <v>101</v>
      </c>
      <c r="V34" s="529"/>
      <c r="W34" s="529"/>
      <c r="X34" s="284"/>
      <c r="Y34" s="284"/>
      <c r="Z34" s="284"/>
      <c r="AA34" s="284"/>
      <c r="AB34" s="166"/>
    </row>
    <row r="35" spans="17:28" x14ac:dyDescent="0.25">
      <c r="Q35" s="536"/>
      <c r="R35" s="532">
        <v>161.96</v>
      </c>
      <c r="S35" s="529"/>
      <c r="T35" s="532">
        <v>161.96</v>
      </c>
      <c r="U35" s="529"/>
      <c r="V35" s="532">
        <v>146.87</v>
      </c>
      <c r="W35" s="532">
        <v>32.71</v>
      </c>
      <c r="X35" s="284"/>
      <c r="Y35" s="284"/>
      <c r="Z35" s="284"/>
      <c r="AA35" s="284"/>
      <c r="AB35" s="166"/>
    </row>
    <row r="36" spans="17:28" x14ac:dyDescent="0.25">
      <c r="Q36" s="535">
        <v>6.86</v>
      </c>
      <c r="R36" s="532">
        <v>11.88</v>
      </c>
      <c r="S36" s="532">
        <v>7.01</v>
      </c>
      <c r="T36" s="532">
        <v>11.88</v>
      </c>
      <c r="U36" s="529"/>
      <c r="V36" s="532">
        <v>6.88</v>
      </c>
      <c r="W36" s="529"/>
      <c r="X36" s="284"/>
      <c r="Y36" s="284"/>
      <c r="Z36" s="284"/>
      <c r="AA36" s="284"/>
      <c r="AB36" s="166"/>
    </row>
    <row r="37" spans="17:28" x14ac:dyDescent="0.25">
      <c r="Q37" s="535">
        <v>11.93</v>
      </c>
      <c r="R37" s="529"/>
      <c r="S37" s="532">
        <v>11.93</v>
      </c>
      <c r="T37" s="529"/>
      <c r="U37" s="529"/>
      <c r="V37" s="529"/>
      <c r="W37" s="529"/>
      <c r="X37" s="284"/>
      <c r="Y37" s="284"/>
      <c r="Z37" s="284"/>
      <c r="AA37" s="284"/>
      <c r="AB37" s="166"/>
    </row>
    <row r="38" spans="17:28" ht="15.75" thickBot="1" x14ac:dyDescent="0.3">
      <c r="Q38" s="537"/>
      <c r="R38" s="538">
        <v>40.81</v>
      </c>
      <c r="S38" s="538">
        <v>78.66</v>
      </c>
      <c r="T38" s="538">
        <v>151.91999999999999</v>
      </c>
      <c r="U38" s="538">
        <v>87.45</v>
      </c>
      <c r="V38" s="539"/>
      <c r="W38" s="539"/>
      <c r="X38" s="286"/>
      <c r="Y38" s="286"/>
      <c r="Z38" s="286"/>
      <c r="AA38" s="286"/>
      <c r="AB38" s="240"/>
    </row>
  </sheetData>
  <mergeCells count="5">
    <mergeCell ref="L14:M14"/>
    <mergeCell ref="L16:M16"/>
    <mergeCell ref="N2:O2"/>
    <mergeCell ref="N5:O5"/>
    <mergeCell ref="L8:M8"/>
  </mergeCells>
  <conditionalFormatting sqref="L15:M15 L9:M11">
    <cfRule type="cellIs" dxfId="25" priority="17" operator="equal">
      <formula>0</formula>
    </cfRule>
  </conditionalFormatting>
  <conditionalFormatting sqref="L12:M13">
    <cfRule type="cellIs" dxfId="24" priority="14" operator="equal">
      <formula>0</formula>
    </cfRule>
  </conditionalFormatting>
  <conditionalFormatting sqref="L17:M17">
    <cfRule type="cellIs" dxfId="23" priority="9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8"/>
  <sheetViews>
    <sheetView showGridLines="0" topLeftCell="A13" zoomScale="55" zoomScaleNormal="55" workbookViewId="0">
      <selection activeCell="Q56" sqref="Q56"/>
    </sheetView>
  </sheetViews>
  <sheetFormatPr defaultRowHeight="15" x14ac:dyDescent="0.25"/>
  <cols>
    <col min="1" max="1" width="8.140625" style="150" customWidth="1"/>
    <col min="2" max="2" width="42.85546875" style="238" bestFit="1" customWidth="1"/>
    <col min="3" max="3" width="15.28515625" style="150" bestFit="1" customWidth="1"/>
    <col min="4" max="4" width="5.42578125" style="150" bestFit="1" customWidth="1"/>
    <col min="5" max="5" width="12.85546875" style="150" bestFit="1" customWidth="1"/>
    <col min="6" max="7" width="11.5703125" style="150" bestFit="1" customWidth="1"/>
    <col min="8" max="8" width="11" style="150" bestFit="1" customWidth="1"/>
    <col min="9" max="9" width="12.140625" style="150" bestFit="1" customWidth="1"/>
    <col min="10" max="10" width="11" style="150" bestFit="1" customWidth="1"/>
    <col min="11" max="11" width="11.42578125" style="150" bestFit="1" customWidth="1"/>
    <col min="12" max="12" width="2" customWidth="1"/>
    <col min="13" max="13" width="12.42578125" style="150" bestFit="1" customWidth="1"/>
    <col min="14" max="14" width="6.28515625" style="150" bestFit="1" customWidth="1"/>
    <col min="15" max="15" width="8.28515625" style="150" bestFit="1" customWidth="1"/>
    <col min="16" max="16" width="6.42578125" style="150" bestFit="1" customWidth="1"/>
    <col min="17" max="17" width="42.85546875" style="150" bestFit="1" customWidth="1"/>
    <col min="18" max="18" width="8.28515625" style="150" customWidth="1"/>
    <col min="19" max="19" width="18.5703125" style="150" bestFit="1" customWidth="1"/>
    <col min="20" max="22" width="7.7109375" style="150" bestFit="1" customWidth="1"/>
    <col min="23" max="23" width="8.140625" style="150" bestFit="1" customWidth="1"/>
    <col min="24" max="25" width="6.85546875" style="150" bestFit="1" customWidth="1"/>
    <col min="26" max="26" width="7.7109375" style="150" bestFit="1" customWidth="1"/>
    <col min="27" max="28" width="6.42578125" style="150" bestFit="1" customWidth="1"/>
    <col min="29" max="16384" width="9.140625" style="150"/>
  </cols>
  <sheetData>
    <row r="1" spans="1:28" ht="15.75" thickBot="1" x14ac:dyDescent="0.3">
      <c r="A1" s="151" t="s">
        <v>100</v>
      </c>
      <c r="B1" s="152"/>
      <c r="C1" s="153"/>
      <c r="D1" s="154" t="s">
        <v>33</v>
      </c>
      <c r="E1" s="155" t="s">
        <v>283</v>
      </c>
      <c r="F1" s="155" t="s">
        <v>284</v>
      </c>
      <c r="G1" s="526" t="s">
        <v>303</v>
      </c>
      <c r="H1" s="155" t="s">
        <v>282</v>
      </c>
      <c r="I1" s="155" t="s">
        <v>281</v>
      </c>
      <c r="J1" s="155" t="s">
        <v>302</v>
      </c>
      <c r="K1" s="157" t="s">
        <v>127</v>
      </c>
      <c r="M1" s="190" t="s">
        <v>101</v>
      </c>
      <c r="P1" s="616" t="s">
        <v>102</v>
      </c>
      <c r="Q1" s="617"/>
      <c r="S1" s="325" t="s">
        <v>145</v>
      </c>
      <c r="T1"/>
    </row>
    <row r="2" spans="1:28" x14ac:dyDescent="0.25">
      <c r="A2" s="170"/>
      <c r="B2" s="193" t="s">
        <v>128</v>
      </c>
      <c r="C2" s="194" t="s">
        <v>129</v>
      </c>
      <c r="D2" s="195" t="s">
        <v>33</v>
      </c>
      <c r="E2" s="196">
        <f t="shared" ref="E2:J5" si="0">E48</f>
        <v>7.1574</v>
      </c>
      <c r="F2" s="196">
        <f t="shared" si="0"/>
        <v>6.2670000000000003</v>
      </c>
      <c r="G2" s="197">
        <f t="shared" si="0"/>
        <v>0</v>
      </c>
      <c r="H2" s="196">
        <f t="shared" si="0"/>
        <v>1.9332</v>
      </c>
      <c r="I2" s="196">
        <f t="shared" si="0"/>
        <v>5.5115000000000007</v>
      </c>
      <c r="J2" s="297">
        <f t="shared" si="0"/>
        <v>0</v>
      </c>
      <c r="K2" s="205">
        <f>SUM(E2:I2)</f>
        <v>20.8691</v>
      </c>
      <c r="M2" s="618">
        <f>SUM(K2:K5)*(1+P2)</f>
        <v>60.296280000000003</v>
      </c>
      <c r="P2" s="206" t="s">
        <v>105</v>
      </c>
      <c r="Q2" s="207" t="s">
        <v>106</v>
      </c>
      <c r="S2" s="326" t="s">
        <v>301</v>
      </c>
      <c r="T2"/>
    </row>
    <row r="3" spans="1:28" x14ac:dyDescent="0.25">
      <c r="A3" s="179"/>
      <c r="B3" s="199" t="s">
        <v>128</v>
      </c>
      <c r="C3" s="200" t="s">
        <v>130</v>
      </c>
      <c r="D3" s="201" t="s">
        <v>33</v>
      </c>
      <c r="E3" s="202">
        <f t="shared" si="0"/>
        <v>2.6219000000000001</v>
      </c>
      <c r="F3" s="202">
        <f t="shared" si="0"/>
        <v>1.2638</v>
      </c>
      <c r="G3" s="203">
        <f t="shared" si="0"/>
        <v>5.4666999999999994</v>
      </c>
      <c r="H3" s="202">
        <f t="shared" si="0"/>
        <v>1.5869</v>
      </c>
      <c r="I3" s="202">
        <f t="shared" si="0"/>
        <v>1.3243</v>
      </c>
      <c r="J3" s="298">
        <f t="shared" si="0"/>
        <v>5.5472999999999999</v>
      </c>
      <c r="K3" s="208">
        <f>SUM(E3:I3)</f>
        <v>12.2636</v>
      </c>
      <c r="M3" s="619"/>
      <c r="P3" s="209"/>
      <c r="Q3" s="210"/>
      <c r="S3" s="560">
        <v>0.18</v>
      </c>
      <c r="T3"/>
    </row>
    <row r="4" spans="1:28" x14ac:dyDescent="0.25">
      <c r="A4" s="170"/>
      <c r="B4" s="204" t="s">
        <v>128</v>
      </c>
      <c r="C4" s="194" t="s">
        <v>131</v>
      </c>
      <c r="D4" s="195" t="s">
        <v>33</v>
      </c>
      <c r="E4" s="196">
        <f t="shared" si="0"/>
        <v>4.4940999999999995</v>
      </c>
      <c r="F4" s="196">
        <f t="shared" si="0"/>
        <v>4.0449999999999999</v>
      </c>
      <c r="G4" s="197">
        <f t="shared" si="0"/>
        <v>0</v>
      </c>
      <c r="H4" s="196">
        <f t="shared" si="0"/>
        <v>5.861600000000001</v>
      </c>
      <c r="I4" s="196">
        <f t="shared" si="0"/>
        <v>6.4431999999999992</v>
      </c>
      <c r="J4" s="297">
        <f t="shared" si="0"/>
        <v>0</v>
      </c>
      <c r="K4" s="205">
        <f>SUM(E4:I4)</f>
        <v>20.843899999999998</v>
      </c>
      <c r="M4" s="619"/>
      <c r="P4" s="209"/>
      <c r="Q4" s="210"/>
      <c r="S4" s="327" t="s">
        <v>300</v>
      </c>
      <c r="T4"/>
    </row>
    <row r="5" spans="1:28" ht="15.75" thickBot="1" x14ac:dyDescent="0.3">
      <c r="A5" s="188"/>
      <c r="B5" s="211" t="s">
        <v>128</v>
      </c>
      <c r="C5" s="212" t="s">
        <v>132</v>
      </c>
      <c r="D5" s="213" t="s">
        <v>33</v>
      </c>
      <c r="E5" s="214">
        <f t="shared" si="0"/>
        <v>0.18</v>
      </c>
      <c r="F5" s="214">
        <f t="shared" si="0"/>
        <v>0.17269999999999999</v>
      </c>
      <c r="G5" s="215">
        <f t="shared" si="0"/>
        <v>0</v>
      </c>
      <c r="H5" s="214">
        <f t="shared" si="0"/>
        <v>0.19550000000000001</v>
      </c>
      <c r="I5" s="214">
        <f t="shared" si="0"/>
        <v>0.28999999999999998</v>
      </c>
      <c r="J5" s="299">
        <f t="shared" si="0"/>
        <v>0</v>
      </c>
      <c r="K5" s="216">
        <f>SUM(E5:I5)</f>
        <v>0.83820000000000006</v>
      </c>
      <c r="M5" s="620"/>
      <c r="P5" s="217"/>
      <c r="Q5" s="218"/>
      <c r="S5" s="560">
        <v>0.17269999999999999</v>
      </c>
      <c r="T5"/>
    </row>
    <row r="6" spans="1:28" ht="15.75" thickBot="1" x14ac:dyDescent="0.3">
      <c r="B6" s="150"/>
      <c r="S6" s="326" t="s">
        <v>298</v>
      </c>
      <c r="T6"/>
    </row>
    <row r="7" spans="1:28" ht="15.75" thickBot="1" x14ac:dyDescent="0.3">
      <c r="A7" s="151" t="s">
        <v>108</v>
      </c>
      <c r="B7" s="152"/>
      <c r="C7" s="153"/>
      <c r="D7" s="154" t="s">
        <v>33</v>
      </c>
      <c r="E7" s="155" t="s">
        <v>283</v>
      </c>
      <c r="F7" s="155" t="s">
        <v>284</v>
      </c>
      <c r="G7" s="526" t="s">
        <v>303</v>
      </c>
      <c r="H7" s="155" t="s">
        <v>282</v>
      </c>
      <c r="I7" s="155" t="s">
        <v>281</v>
      </c>
      <c r="J7" s="155" t="s">
        <v>302</v>
      </c>
      <c r="K7" s="192" t="s">
        <v>101</v>
      </c>
      <c r="M7" s="190" t="s">
        <v>101</v>
      </c>
      <c r="P7" s="616" t="s">
        <v>102</v>
      </c>
      <c r="Q7" s="617"/>
      <c r="S7" s="560">
        <v>0.19550000000000001</v>
      </c>
      <c r="T7"/>
    </row>
    <row r="8" spans="1:28" x14ac:dyDescent="0.25">
      <c r="A8" s="340"/>
      <c r="B8" s="341" t="s">
        <v>307</v>
      </c>
      <c r="C8" s="200">
        <v>40</v>
      </c>
      <c r="D8" s="201" t="s">
        <v>33</v>
      </c>
      <c r="E8" s="202">
        <f>SUM(S55:V55,V56,S57:U57,T58,S59)/100</f>
        <v>3.8860000000000001</v>
      </c>
      <c r="F8" s="202">
        <f>SUM(S61:S62)/100</f>
        <v>1.6003000000000001</v>
      </c>
      <c r="G8" s="203">
        <v>0</v>
      </c>
      <c r="H8" s="202">
        <f>SUM(S64:U65)/100</f>
        <v>1.6481000000000001</v>
      </c>
      <c r="I8" s="202">
        <f>SUM(S67:U70)/100</f>
        <v>3.3244000000000007</v>
      </c>
      <c r="J8" s="203">
        <v>0</v>
      </c>
      <c r="K8" s="198">
        <f>(1+$P$8)*SUM(E8:J8)</f>
        <v>11.50468</v>
      </c>
      <c r="M8" s="596">
        <f>K8*(1+$P$8)</f>
        <v>12.655148000000002</v>
      </c>
      <c r="P8" s="206" t="s">
        <v>105</v>
      </c>
      <c r="Q8" s="207" t="s">
        <v>106</v>
      </c>
      <c r="S8" s="326" t="s">
        <v>299</v>
      </c>
      <c r="T8"/>
    </row>
    <row r="9" spans="1:28" ht="15.75" thickBot="1" x14ac:dyDescent="0.3">
      <c r="A9" s="578"/>
      <c r="B9" s="580"/>
      <c r="C9" s="581">
        <v>50</v>
      </c>
      <c r="D9" s="582" t="s">
        <v>33</v>
      </c>
      <c r="E9" s="585">
        <v>0</v>
      </c>
      <c r="F9" s="585">
        <v>0</v>
      </c>
      <c r="G9" s="583">
        <f>SUM(U50)/100</f>
        <v>3.0620999999999996</v>
      </c>
      <c r="H9" s="585">
        <f>V39/100</f>
        <v>7.3700000000000002E-2</v>
      </c>
      <c r="I9" s="585">
        <f>T36/100</f>
        <v>0.10289999999999999</v>
      </c>
      <c r="J9" s="583">
        <f>V42/100</f>
        <v>3.1345999999999998</v>
      </c>
      <c r="K9" s="584">
        <f>(1+$P$8)*SUM(E9:J9)</f>
        <v>7.0106299999999999</v>
      </c>
      <c r="M9" s="597">
        <f>K9*(1+$P$8)</f>
        <v>7.7116930000000004</v>
      </c>
      <c r="P9" s="209"/>
      <c r="Q9" s="210"/>
      <c r="S9" s="561">
        <v>0.28999999999999998</v>
      </c>
      <c r="T9"/>
    </row>
    <row r="10" spans="1:28" ht="15.75" thickBot="1" x14ac:dyDescent="0.3">
      <c r="A10" s="579"/>
      <c r="B10" s="341"/>
      <c r="C10" s="200">
        <v>100</v>
      </c>
      <c r="D10" s="201" t="s">
        <v>33</v>
      </c>
      <c r="E10" s="202">
        <f>SUM(S13,S16)/100</f>
        <v>0.69789999999999996</v>
      </c>
      <c r="F10" s="202">
        <f>SUM(T20,X20)/100</f>
        <v>0.67699999999999994</v>
      </c>
      <c r="G10" s="203">
        <v>0</v>
      </c>
      <c r="H10" s="202">
        <f>SUM(S23,S25)/100</f>
        <v>0.69430000000000003</v>
      </c>
      <c r="I10" s="202">
        <f>SUM(S29,W29,Z29)/100</f>
        <v>1.0127000000000002</v>
      </c>
      <c r="J10" s="203">
        <v>0</v>
      </c>
      <c r="K10" s="198">
        <f>(1+$P$8)*SUM(E10:J10)</f>
        <v>3.3900900000000003</v>
      </c>
      <c r="M10" s="598">
        <f>K10*(1+$P$8)</f>
        <v>3.7290990000000006</v>
      </c>
      <c r="P10" s="209"/>
      <c r="Q10" s="210"/>
      <c r="S10"/>
      <c r="T10"/>
    </row>
    <row r="11" spans="1:28" ht="15.75" thickBot="1" x14ac:dyDescent="0.3">
      <c r="A11" s="342"/>
      <c r="B11" s="343"/>
      <c r="C11" s="212">
        <v>150</v>
      </c>
      <c r="D11" s="213" t="s">
        <v>33</v>
      </c>
      <c r="E11" s="214">
        <f>S3</f>
        <v>0.18</v>
      </c>
      <c r="F11" s="214">
        <f>S5</f>
        <v>0.17269999999999999</v>
      </c>
      <c r="G11" s="215">
        <v>0</v>
      </c>
      <c r="H11" s="214">
        <f>S7</f>
        <v>0.19550000000000001</v>
      </c>
      <c r="I11" s="214">
        <f>S9</f>
        <v>0.28999999999999998</v>
      </c>
      <c r="J11" s="215">
        <v>0</v>
      </c>
      <c r="K11" s="219">
        <f>(1+$P$8)*SUM(E11:J11)</f>
        <v>0.92202000000000017</v>
      </c>
      <c r="M11" s="592">
        <f t="shared" ref="M11" si="1">K11*(1+$P$8)</f>
        <v>1.0142220000000002</v>
      </c>
      <c r="P11" s="217"/>
      <c r="Q11" s="218"/>
      <c r="S11" s="306" t="s">
        <v>133</v>
      </c>
      <c r="T11" s="307" t="s">
        <v>33</v>
      </c>
      <c r="U11" s="308"/>
      <c r="V11" s="309"/>
      <c r="W11" s="309"/>
      <c r="X11" s="309"/>
      <c r="Y11" s="309"/>
      <c r="Z11" s="541"/>
      <c r="AA11" s="541"/>
      <c r="AB11" s="310"/>
    </row>
    <row r="12" spans="1:28" ht="15.75" thickBot="1" x14ac:dyDescent="0.3">
      <c r="A12" s="151" t="s">
        <v>181</v>
      </c>
      <c r="B12" s="152"/>
      <c r="C12" s="153"/>
      <c r="D12" s="154" t="s">
        <v>33</v>
      </c>
      <c r="E12" s="155" t="s">
        <v>283</v>
      </c>
      <c r="F12" s="155" t="s">
        <v>284</v>
      </c>
      <c r="G12" s="526" t="s">
        <v>303</v>
      </c>
      <c r="H12" s="155" t="s">
        <v>282</v>
      </c>
      <c r="I12" s="155" t="s">
        <v>281</v>
      </c>
      <c r="J12" s="155" t="s">
        <v>302</v>
      </c>
      <c r="K12" s="527" t="s">
        <v>127</v>
      </c>
      <c r="M12" s="328" t="s">
        <v>101</v>
      </c>
      <c r="P12" s="616" t="s">
        <v>102</v>
      </c>
      <c r="Q12" s="617"/>
      <c r="S12" s="311" t="s">
        <v>301</v>
      </c>
      <c r="T12" s="312"/>
      <c r="U12" s="312"/>
      <c r="V12" s="312"/>
      <c r="W12" s="312"/>
      <c r="X12" s="312"/>
      <c r="Y12" s="312"/>
      <c r="Z12" s="542"/>
      <c r="AA12" s="542"/>
      <c r="AB12" s="313"/>
    </row>
    <row r="13" spans="1:28" x14ac:dyDescent="0.25">
      <c r="A13" s="588"/>
      <c r="B13" s="589" t="s">
        <v>182</v>
      </c>
      <c r="C13" s="194">
        <v>40</v>
      </c>
      <c r="D13" s="195" t="s">
        <v>33</v>
      </c>
      <c r="E13" s="330">
        <f>SUM(W55,V57,T59:U59)/100</f>
        <v>3.2713999999999999</v>
      </c>
      <c r="F13" s="330">
        <f>SUM(T61:V62)/100</f>
        <v>4.6666999999999996</v>
      </c>
      <c r="G13" s="331">
        <v>0</v>
      </c>
      <c r="H13" s="330">
        <f>SUM(V64:W64)/100</f>
        <v>0.28509999999999996</v>
      </c>
      <c r="I13" s="330">
        <f>SUM(V67:X69)/100</f>
        <v>2.1871</v>
      </c>
      <c r="J13" s="330">
        <v>0</v>
      </c>
      <c r="K13" s="198">
        <f>(1+$P$13)*SUM(E13:J13)</f>
        <v>11.45133</v>
      </c>
      <c r="M13" s="596">
        <f>K13*(1+$P$13)</f>
        <v>12.596463000000002</v>
      </c>
      <c r="P13" s="206" t="s">
        <v>105</v>
      </c>
      <c r="Q13" s="207" t="s">
        <v>106</v>
      </c>
      <c r="S13" s="557">
        <v>34.729999999999997</v>
      </c>
      <c r="T13" s="546"/>
      <c r="U13" s="546"/>
      <c r="V13" s="546"/>
      <c r="W13" s="546"/>
      <c r="X13" s="546"/>
      <c r="Y13" s="546"/>
      <c r="Z13" s="548"/>
      <c r="AA13" s="543"/>
      <c r="AB13" s="302"/>
    </row>
    <row r="14" spans="1:28" x14ac:dyDescent="0.25">
      <c r="A14" s="588"/>
      <c r="B14" s="589"/>
      <c r="C14" s="194">
        <v>50</v>
      </c>
      <c r="D14" s="195" t="s">
        <v>33</v>
      </c>
      <c r="E14" s="330">
        <f>SUM(S34:U35)/100</f>
        <v>1.2214</v>
      </c>
      <c r="F14" s="330">
        <f>SUM(S38:V38)/100</f>
        <v>1.5131999999999999</v>
      </c>
      <c r="G14" s="331">
        <f>SUM(S41:W41)/100</f>
        <v>1.1133</v>
      </c>
      <c r="H14" s="330">
        <f>SUM(S45:U45)/100</f>
        <v>1.2638</v>
      </c>
      <c r="I14" s="330">
        <f>SUM(S47:X48)/100</f>
        <v>2.6219000000000001</v>
      </c>
      <c r="J14" s="330">
        <f>SUM(T50,V50)/100</f>
        <v>0.99269999999999992</v>
      </c>
      <c r="K14" s="584">
        <f t="shared" ref="K14:K16" si="2">(1+$P$13)*SUM(E14:J14)</f>
        <v>9.5989300000000011</v>
      </c>
      <c r="M14" s="597">
        <f t="shared" ref="M14:M20" si="3">K14*(1+$P$13)</f>
        <v>10.558823000000002</v>
      </c>
      <c r="P14" s="209"/>
      <c r="Q14" s="210"/>
      <c r="S14" s="545"/>
      <c r="T14" s="547">
        <v>15.15</v>
      </c>
      <c r="U14" s="547">
        <v>110.7</v>
      </c>
      <c r="V14" s="546"/>
      <c r="W14" s="546"/>
      <c r="X14" s="546"/>
      <c r="Y14" s="546"/>
      <c r="Z14" s="548"/>
      <c r="AA14" s="543"/>
      <c r="AB14" s="302"/>
    </row>
    <row r="15" spans="1:28" x14ac:dyDescent="0.25">
      <c r="A15" s="588"/>
      <c r="B15" s="589"/>
      <c r="C15" s="194">
        <v>100</v>
      </c>
      <c r="D15" s="195" t="s">
        <v>33</v>
      </c>
      <c r="E15" s="330">
        <f>SUM(T14:AB18)/100</f>
        <v>3.7962000000000002</v>
      </c>
      <c r="F15" s="330">
        <f>SUM(S21:AA21,Z20)/100</f>
        <v>3.3679999999999994</v>
      </c>
      <c r="G15" s="331">
        <v>0</v>
      </c>
      <c r="H15" s="330">
        <f>SUM(T24:Z27)/100</f>
        <v>5.1673</v>
      </c>
      <c r="I15" s="330">
        <f>SUM(S30:AB30)/100</f>
        <v>5.4304999999999994</v>
      </c>
      <c r="J15" s="330">
        <v>0</v>
      </c>
      <c r="K15" s="198">
        <f t="shared" si="2"/>
        <v>19.5382</v>
      </c>
      <c r="M15" s="598">
        <f t="shared" si="3"/>
        <v>21.49202</v>
      </c>
      <c r="P15" s="209"/>
      <c r="Q15" s="210"/>
      <c r="S15" s="545"/>
      <c r="T15" s="546"/>
      <c r="U15" s="546"/>
      <c r="V15" s="546"/>
      <c r="W15" s="546"/>
      <c r="X15" s="546"/>
      <c r="Y15" s="546"/>
      <c r="Z15" s="548"/>
      <c r="AA15" s="543"/>
      <c r="AB15" s="302"/>
    </row>
    <row r="16" spans="1:28" ht="15.75" thickBot="1" x14ac:dyDescent="0.3">
      <c r="A16" s="590"/>
      <c r="B16" s="591"/>
      <c r="C16" s="293">
        <v>150</v>
      </c>
      <c r="D16" s="294" t="s">
        <v>33</v>
      </c>
      <c r="E16" s="332">
        <v>0</v>
      </c>
      <c r="F16" s="332">
        <v>0</v>
      </c>
      <c r="G16" s="586">
        <v>0</v>
      </c>
      <c r="H16" s="332">
        <v>0</v>
      </c>
      <c r="I16" s="332">
        <v>0</v>
      </c>
      <c r="J16" s="332">
        <v>0</v>
      </c>
      <c r="K16" s="219">
        <f t="shared" si="2"/>
        <v>0</v>
      </c>
      <c r="M16" s="592">
        <f t="shared" si="3"/>
        <v>0</v>
      </c>
      <c r="P16" s="217"/>
      <c r="Q16" s="218"/>
      <c r="S16" s="557">
        <v>35.06</v>
      </c>
      <c r="T16" s="546"/>
      <c r="U16" s="546"/>
      <c r="V16" s="546"/>
      <c r="W16" s="546"/>
      <c r="X16" s="546"/>
      <c r="Y16" s="546"/>
      <c r="Z16" s="548"/>
      <c r="AA16" s="543"/>
      <c r="AB16" s="302"/>
    </row>
    <row r="17" spans="1:28" x14ac:dyDescent="0.25">
      <c r="A17" s="337"/>
      <c r="B17" s="336" t="s">
        <v>183</v>
      </c>
      <c r="C17" s="200">
        <v>40</v>
      </c>
      <c r="D17" s="201" t="s">
        <v>33</v>
      </c>
      <c r="E17" s="333">
        <v>0</v>
      </c>
      <c r="F17" s="333">
        <v>0</v>
      </c>
      <c r="G17" s="334">
        <v>0</v>
      </c>
      <c r="H17" s="333">
        <v>0</v>
      </c>
      <c r="I17" s="333">
        <v>0</v>
      </c>
      <c r="J17" s="333">
        <v>0</v>
      </c>
      <c r="K17" s="198">
        <f>(1+$P$17)*SUM(E17:J17)</f>
        <v>0</v>
      </c>
      <c r="M17" s="596">
        <f>K17*(1+$P$13)</f>
        <v>0</v>
      </c>
      <c r="P17" s="206" t="s">
        <v>105</v>
      </c>
      <c r="Q17" s="207" t="s">
        <v>106</v>
      </c>
      <c r="S17" s="545"/>
      <c r="T17" s="547">
        <v>19</v>
      </c>
      <c r="U17" s="547">
        <v>50.72</v>
      </c>
      <c r="V17" s="547">
        <v>13.68</v>
      </c>
      <c r="W17" s="547">
        <v>27.93</v>
      </c>
      <c r="X17" s="547">
        <v>29.31</v>
      </c>
      <c r="Y17" s="547">
        <v>21.97</v>
      </c>
      <c r="Z17" s="547">
        <v>58.15</v>
      </c>
      <c r="AA17" s="543"/>
      <c r="AB17" s="302"/>
    </row>
    <row r="18" spans="1:28" x14ac:dyDescent="0.25">
      <c r="A18" s="337"/>
      <c r="B18" s="336"/>
      <c r="C18" s="200">
        <v>50</v>
      </c>
      <c r="D18" s="201" t="s">
        <v>33</v>
      </c>
      <c r="E18" s="333">
        <v>0</v>
      </c>
      <c r="F18" s="333">
        <v>0</v>
      </c>
      <c r="G18" s="334">
        <f>SUM(V43:W43)/100</f>
        <v>1.2993999999999999</v>
      </c>
      <c r="H18" s="333">
        <v>0</v>
      </c>
      <c r="I18" s="333">
        <v>0</v>
      </c>
      <c r="J18" s="333">
        <f>SUM(V51:W51,S50)/100</f>
        <v>1.4118999999999999</v>
      </c>
      <c r="K18" s="584">
        <f>(1+$P$8)*SUM(E18:J18)</f>
        <v>2.9824299999999999</v>
      </c>
      <c r="M18" s="597">
        <f t="shared" si="3"/>
        <v>3.2806730000000002</v>
      </c>
      <c r="P18" s="209"/>
      <c r="Q18" s="210"/>
      <c r="S18" s="545"/>
      <c r="T18" s="547">
        <v>33.01</v>
      </c>
      <c r="U18" s="546"/>
      <c r="V18" s="546"/>
      <c r="W18" s="546"/>
      <c r="X18" s="546"/>
      <c r="Y18" s="546"/>
      <c r="Z18" s="548"/>
      <c r="AA18" s="543"/>
      <c r="AB18" s="302"/>
    </row>
    <row r="19" spans="1:28" x14ac:dyDescent="0.25">
      <c r="A19" s="337"/>
      <c r="B19" s="336"/>
      <c r="C19" s="200">
        <v>100</v>
      </c>
      <c r="D19" s="201" t="s">
        <v>33</v>
      </c>
      <c r="E19" s="333">
        <v>0</v>
      </c>
      <c r="F19" s="333">
        <v>0</v>
      </c>
      <c r="G19" s="334">
        <v>0</v>
      </c>
      <c r="H19" s="333">
        <v>0</v>
      </c>
      <c r="I19" s="333">
        <v>0</v>
      </c>
      <c r="J19" s="333">
        <v>0</v>
      </c>
      <c r="K19" s="198">
        <f>(1+$P$8)*SUM(E19:J19)</f>
        <v>0</v>
      </c>
      <c r="M19" s="598">
        <f t="shared" si="3"/>
        <v>0</v>
      </c>
      <c r="P19" s="209"/>
      <c r="Q19" s="210"/>
      <c r="S19" s="303" t="s">
        <v>300</v>
      </c>
      <c r="T19" s="300"/>
      <c r="U19" s="300"/>
      <c r="V19" s="300"/>
      <c r="W19" s="300"/>
      <c r="X19" s="300"/>
      <c r="Y19" s="300"/>
      <c r="Z19" s="544"/>
      <c r="AA19" s="544"/>
      <c r="AB19" s="304"/>
    </row>
    <row r="20" spans="1:28" ht="15.75" thickBot="1" x14ac:dyDescent="0.3">
      <c r="A20" s="338"/>
      <c r="B20" s="339"/>
      <c r="C20" s="212">
        <v>150</v>
      </c>
      <c r="D20" s="213" t="s">
        <v>33</v>
      </c>
      <c r="E20" s="335">
        <v>0</v>
      </c>
      <c r="F20" s="335">
        <v>0</v>
      </c>
      <c r="G20" s="587">
        <v>0</v>
      </c>
      <c r="H20" s="335">
        <v>0</v>
      </c>
      <c r="I20" s="335">
        <v>0</v>
      </c>
      <c r="J20" s="335">
        <v>0</v>
      </c>
      <c r="K20" s="219">
        <f>(1+$P$8)*SUM(E20:J20)</f>
        <v>0</v>
      </c>
      <c r="M20" s="592">
        <f t="shared" si="3"/>
        <v>0</v>
      </c>
      <c r="P20" s="217"/>
      <c r="Q20" s="218"/>
      <c r="S20" s="545"/>
      <c r="T20" s="562">
        <v>33.409999999999997</v>
      </c>
      <c r="U20" s="546"/>
      <c r="V20" s="546"/>
      <c r="W20" s="546"/>
      <c r="X20" s="562">
        <v>34.29</v>
      </c>
      <c r="Y20" s="546"/>
      <c r="Z20" s="547">
        <v>19</v>
      </c>
      <c r="AA20" s="546"/>
      <c r="AB20" s="549"/>
    </row>
    <row r="21" spans="1:28" ht="15.75" thickBot="1" x14ac:dyDescent="0.3">
      <c r="B21" s="150"/>
      <c r="S21" s="550">
        <v>34</v>
      </c>
      <c r="T21" s="547">
        <v>68.459999999999994</v>
      </c>
      <c r="U21" s="547">
        <v>10.5</v>
      </c>
      <c r="V21" s="547">
        <v>61.5</v>
      </c>
      <c r="W21" s="547">
        <v>16</v>
      </c>
      <c r="X21" s="547">
        <v>61.23</v>
      </c>
      <c r="Y21" s="547">
        <v>40.43</v>
      </c>
      <c r="Z21" s="547">
        <v>13.75</v>
      </c>
      <c r="AA21" s="547">
        <v>11.93</v>
      </c>
      <c r="AB21" s="549"/>
    </row>
    <row r="22" spans="1:28" ht="15.75" thickBot="1" x14ac:dyDescent="0.3">
      <c r="A22" s="151" t="s">
        <v>134</v>
      </c>
      <c r="B22" s="152"/>
      <c r="C22" s="153"/>
      <c r="D22" s="154"/>
      <c r="E22" s="155" t="s">
        <v>283</v>
      </c>
      <c r="F22" s="155" t="s">
        <v>284</v>
      </c>
      <c r="G22" s="270" t="s">
        <v>303</v>
      </c>
      <c r="H22" s="155" t="s">
        <v>282</v>
      </c>
      <c r="I22" s="155" t="s">
        <v>281</v>
      </c>
      <c r="J22" s="155" t="s">
        <v>302</v>
      </c>
      <c r="K22" s="265" t="s">
        <v>101</v>
      </c>
      <c r="M22" s="168" t="s">
        <v>38</v>
      </c>
      <c r="N22" s="614" t="s">
        <v>110</v>
      </c>
      <c r="O22" s="615"/>
      <c r="Q22" s="169" t="s">
        <v>102</v>
      </c>
      <c r="S22" s="303" t="s">
        <v>298</v>
      </c>
      <c r="T22" s="300"/>
      <c r="U22" s="300"/>
      <c r="V22" s="300"/>
      <c r="W22" s="300"/>
      <c r="X22" s="300"/>
      <c r="Y22" s="300"/>
      <c r="Z22" s="544"/>
      <c r="AA22" s="544"/>
      <c r="AB22" s="304"/>
    </row>
    <row r="23" spans="1:28" ht="15.75" thickBot="1" x14ac:dyDescent="0.3">
      <c r="A23" s="273" t="s">
        <v>135</v>
      </c>
      <c r="B23" s="292" t="s">
        <v>136</v>
      </c>
      <c r="C23" s="293" t="s">
        <v>137</v>
      </c>
      <c r="D23" s="294" t="s">
        <v>1</v>
      </c>
      <c r="E23" s="295">
        <v>1</v>
      </c>
      <c r="F23" s="295">
        <v>1</v>
      </c>
      <c r="G23" s="290"/>
      <c r="H23" s="295">
        <v>1</v>
      </c>
      <c r="I23" s="295">
        <v>1</v>
      </c>
      <c r="J23" s="290"/>
      <c r="K23" s="296">
        <f>SUM(E23:J23)</f>
        <v>4</v>
      </c>
      <c r="M23" s="289">
        <v>4</v>
      </c>
      <c r="N23" s="290">
        <f>M23-K23</f>
        <v>0</v>
      </c>
      <c r="O23" s="291">
        <f>N23/M23</f>
        <v>0</v>
      </c>
      <c r="Q23" s="220"/>
      <c r="S23" s="557">
        <v>35.44</v>
      </c>
      <c r="T23" s="301"/>
      <c r="U23" s="301"/>
      <c r="V23" s="301"/>
      <c r="W23" s="301"/>
      <c r="X23" s="301"/>
      <c r="Y23" s="301"/>
      <c r="Z23" s="301"/>
      <c r="AA23" s="301"/>
      <c r="AB23" s="302"/>
    </row>
    <row r="24" spans="1:28" ht="15.75" thickBot="1" x14ac:dyDescent="0.3">
      <c r="B24" s="150"/>
      <c r="S24" s="329"/>
      <c r="T24" s="547">
        <v>122</v>
      </c>
      <c r="U24" s="301"/>
      <c r="V24" s="547">
        <v>19</v>
      </c>
      <c r="W24" s="301"/>
      <c r="X24" s="301"/>
      <c r="Y24" s="301"/>
      <c r="Z24" s="301"/>
      <c r="AA24" s="301"/>
      <c r="AB24" s="302"/>
    </row>
    <row r="25" spans="1:28" ht="15.75" thickBot="1" x14ac:dyDescent="0.3">
      <c r="A25" s="151" t="s">
        <v>109</v>
      </c>
      <c r="B25" s="191"/>
      <c r="C25" s="153"/>
      <c r="D25" s="154"/>
      <c r="E25" s="155" t="s">
        <v>283</v>
      </c>
      <c r="F25" s="155" t="s">
        <v>284</v>
      </c>
      <c r="G25" s="525" t="s">
        <v>303</v>
      </c>
      <c r="H25" s="155" t="s">
        <v>282</v>
      </c>
      <c r="I25" s="155" t="s">
        <v>281</v>
      </c>
      <c r="J25" s="155" t="s">
        <v>302</v>
      </c>
      <c r="K25" s="192" t="s">
        <v>101</v>
      </c>
      <c r="M25" s="168" t="s">
        <v>38</v>
      </c>
      <c r="N25" s="614" t="s">
        <v>110</v>
      </c>
      <c r="O25" s="615"/>
      <c r="Q25" s="169" t="s">
        <v>102</v>
      </c>
      <c r="S25" s="557">
        <v>33.99</v>
      </c>
      <c r="T25" s="301"/>
      <c r="U25" s="301"/>
      <c r="V25" s="547">
        <v>70.63</v>
      </c>
      <c r="W25" s="301"/>
      <c r="X25" s="301"/>
      <c r="Y25" s="301"/>
      <c r="Z25" s="301"/>
      <c r="AA25" s="301"/>
      <c r="AB25" s="302"/>
    </row>
    <row r="26" spans="1:28" x14ac:dyDescent="0.25">
      <c r="A26" s="170" t="s">
        <v>138</v>
      </c>
      <c r="B26" s="193" t="s">
        <v>139</v>
      </c>
      <c r="C26" s="194">
        <v>50</v>
      </c>
      <c r="D26" s="195" t="s">
        <v>1</v>
      </c>
      <c r="E26" s="221">
        <v>0</v>
      </c>
      <c r="F26" s="221">
        <v>0</v>
      </c>
      <c r="G26" s="222">
        <v>1</v>
      </c>
      <c r="H26" s="221">
        <v>0</v>
      </c>
      <c r="I26" s="221">
        <v>0</v>
      </c>
      <c r="J26" s="222">
        <v>1</v>
      </c>
      <c r="K26" s="223">
        <f t="shared" ref="K26:K45" si="4">SUM(E26:J26)</f>
        <v>2</v>
      </c>
      <c r="M26" s="224">
        <v>2</v>
      </c>
      <c r="N26" s="222">
        <f t="shared" ref="N26:N46" si="5">M26-K26</f>
        <v>0</v>
      </c>
      <c r="O26" s="225">
        <f t="shared" ref="O26:O46" si="6">N26/M26</f>
        <v>0</v>
      </c>
      <c r="Q26" s="226"/>
      <c r="S26" s="305"/>
      <c r="T26" s="547">
        <v>78</v>
      </c>
      <c r="U26" s="547">
        <v>11</v>
      </c>
      <c r="V26" s="547">
        <v>73.05</v>
      </c>
      <c r="W26" s="547">
        <v>22.77</v>
      </c>
      <c r="X26" s="547">
        <v>31.51</v>
      </c>
      <c r="Y26" s="547">
        <v>18.57</v>
      </c>
      <c r="Z26" s="547">
        <v>48.2</v>
      </c>
      <c r="AA26" s="301"/>
      <c r="AB26" s="302"/>
    </row>
    <row r="27" spans="1:28" x14ac:dyDescent="0.25">
      <c r="A27" s="179" t="s">
        <v>140</v>
      </c>
      <c r="B27" s="199" t="s">
        <v>141</v>
      </c>
      <c r="C27" s="200" t="s">
        <v>142</v>
      </c>
      <c r="D27" s="201" t="s">
        <v>1</v>
      </c>
      <c r="E27" s="227">
        <v>1</v>
      </c>
      <c r="F27" s="227">
        <v>1</v>
      </c>
      <c r="G27" s="228">
        <v>1</v>
      </c>
      <c r="H27" s="227">
        <v>1</v>
      </c>
      <c r="I27" s="227">
        <v>1</v>
      </c>
      <c r="J27" s="228">
        <v>1</v>
      </c>
      <c r="K27" s="229">
        <f t="shared" si="4"/>
        <v>6</v>
      </c>
      <c r="M27" s="230">
        <v>6</v>
      </c>
      <c r="N27" s="228">
        <f t="shared" si="5"/>
        <v>0</v>
      </c>
      <c r="O27" s="231">
        <f t="shared" si="6"/>
        <v>0</v>
      </c>
      <c r="Q27" s="226"/>
      <c r="S27" s="305"/>
      <c r="T27" s="301"/>
      <c r="U27" s="547">
        <v>22</v>
      </c>
      <c r="V27" s="301"/>
      <c r="W27" s="301"/>
      <c r="X27" s="301"/>
      <c r="Y27" s="301"/>
      <c r="Z27" s="301"/>
      <c r="AA27" s="301"/>
      <c r="AB27" s="302"/>
    </row>
    <row r="28" spans="1:28" x14ac:dyDescent="0.25">
      <c r="A28" s="170" t="s">
        <v>143</v>
      </c>
      <c r="B28" s="204" t="s">
        <v>144</v>
      </c>
      <c r="C28" s="194">
        <v>100</v>
      </c>
      <c r="D28" s="195" t="s">
        <v>1</v>
      </c>
      <c r="E28" s="221">
        <v>2</v>
      </c>
      <c r="F28" s="221">
        <v>2</v>
      </c>
      <c r="G28" s="222">
        <v>0</v>
      </c>
      <c r="H28" s="221">
        <v>2</v>
      </c>
      <c r="I28" s="221">
        <v>3</v>
      </c>
      <c r="J28" s="222">
        <v>0</v>
      </c>
      <c r="K28" s="223">
        <f t="shared" si="4"/>
        <v>9</v>
      </c>
      <c r="M28" s="224">
        <v>9</v>
      </c>
      <c r="N28" s="222">
        <f t="shared" si="5"/>
        <v>0</v>
      </c>
      <c r="O28" s="225">
        <f t="shared" si="6"/>
        <v>0</v>
      </c>
      <c r="Q28" s="226"/>
      <c r="S28" s="303" t="s">
        <v>299</v>
      </c>
      <c r="T28" s="300"/>
      <c r="U28" s="300"/>
      <c r="V28" s="300"/>
      <c r="W28" s="300"/>
      <c r="X28" s="300"/>
      <c r="Y28" s="300"/>
      <c r="Z28" s="544"/>
      <c r="AA28" s="544"/>
      <c r="AB28" s="304"/>
    </row>
    <row r="29" spans="1:28" x14ac:dyDescent="0.25">
      <c r="A29" s="179" t="s">
        <v>146</v>
      </c>
      <c r="B29" s="199" t="s">
        <v>147</v>
      </c>
      <c r="C29" s="200">
        <v>50</v>
      </c>
      <c r="D29" s="201" t="s">
        <v>1</v>
      </c>
      <c r="E29" s="227">
        <f t="shared" ref="E29:J29" si="7">2*E27+E32+E36+E38+E40+E43+E44+E26</f>
        <v>15</v>
      </c>
      <c r="F29" s="227">
        <f t="shared" si="7"/>
        <v>5</v>
      </c>
      <c r="G29" s="227">
        <f t="shared" si="7"/>
        <v>11</v>
      </c>
      <c r="H29" s="227">
        <f t="shared" si="7"/>
        <v>9</v>
      </c>
      <c r="I29" s="227">
        <f t="shared" si="7"/>
        <v>9</v>
      </c>
      <c r="J29" s="227">
        <f t="shared" si="7"/>
        <v>14</v>
      </c>
      <c r="K29" s="229">
        <f t="shared" si="4"/>
        <v>63</v>
      </c>
      <c r="M29" s="230">
        <v>63</v>
      </c>
      <c r="N29" s="228">
        <f t="shared" si="5"/>
        <v>0</v>
      </c>
      <c r="O29" s="231">
        <f t="shared" si="6"/>
        <v>0</v>
      </c>
      <c r="Q29" s="226"/>
      <c r="S29" s="557">
        <v>32.770000000000003</v>
      </c>
      <c r="T29" s="548"/>
      <c r="U29" s="548"/>
      <c r="V29" s="548"/>
      <c r="W29" s="559">
        <v>33.75</v>
      </c>
      <c r="X29" s="548"/>
      <c r="Y29" s="548"/>
      <c r="Z29" s="559">
        <v>34.75</v>
      </c>
      <c r="AA29" s="548"/>
      <c r="AB29" s="549"/>
    </row>
    <row r="30" spans="1:28" ht="15.75" thickBot="1" x14ac:dyDescent="0.3">
      <c r="A30" s="170" t="s">
        <v>148</v>
      </c>
      <c r="B30" s="193" t="s">
        <v>147</v>
      </c>
      <c r="C30" s="194">
        <v>100</v>
      </c>
      <c r="D30" s="195" t="s">
        <v>1</v>
      </c>
      <c r="E30" s="221">
        <f t="shared" ref="E30:J30" si="8">E33+E37+E38+E39*2+E41+E42+E43</f>
        <v>26</v>
      </c>
      <c r="F30" s="221">
        <f t="shared" si="8"/>
        <v>19</v>
      </c>
      <c r="G30" s="221">
        <f t="shared" si="8"/>
        <v>0</v>
      </c>
      <c r="H30" s="221">
        <f t="shared" si="8"/>
        <v>20</v>
      </c>
      <c r="I30" s="221">
        <f t="shared" si="8"/>
        <v>24</v>
      </c>
      <c r="J30" s="221">
        <f t="shared" si="8"/>
        <v>0</v>
      </c>
      <c r="K30" s="223">
        <f t="shared" si="4"/>
        <v>89</v>
      </c>
      <c r="M30" s="224">
        <v>89</v>
      </c>
      <c r="N30" s="222">
        <f t="shared" si="5"/>
        <v>0</v>
      </c>
      <c r="O30" s="225">
        <f t="shared" si="6"/>
        <v>0</v>
      </c>
      <c r="Q30" s="226"/>
      <c r="S30" s="554">
        <v>33.94</v>
      </c>
      <c r="T30" s="555">
        <v>102.85</v>
      </c>
      <c r="U30" s="555">
        <v>24.76</v>
      </c>
      <c r="V30" s="555">
        <v>40.1</v>
      </c>
      <c r="W30" s="555">
        <v>102.83</v>
      </c>
      <c r="X30" s="555">
        <v>23.58</v>
      </c>
      <c r="Y30" s="555">
        <v>42.49</v>
      </c>
      <c r="Z30" s="555">
        <v>102.83</v>
      </c>
      <c r="AA30" s="555">
        <v>54.17</v>
      </c>
      <c r="AB30" s="558">
        <v>15.5</v>
      </c>
    </row>
    <row r="31" spans="1:28" ht="15.75" thickBot="1" x14ac:dyDescent="0.3">
      <c r="A31" s="179" t="s">
        <v>149</v>
      </c>
      <c r="B31" s="199" t="s">
        <v>150</v>
      </c>
      <c r="C31" s="200">
        <v>40</v>
      </c>
      <c r="D31" s="201" t="s">
        <v>1</v>
      </c>
      <c r="E31" s="227">
        <v>3</v>
      </c>
      <c r="F31" s="227">
        <v>2</v>
      </c>
      <c r="G31" s="228">
        <v>0</v>
      </c>
      <c r="H31" s="227">
        <v>1</v>
      </c>
      <c r="I31" s="227">
        <v>5</v>
      </c>
      <c r="J31" s="228">
        <v>0</v>
      </c>
      <c r="K31" s="229">
        <f t="shared" si="4"/>
        <v>11</v>
      </c>
      <c r="M31" s="230">
        <v>11</v>
      </c>
      <c r="N31" s="228">
        <f t="shared" si="5"/>
        <v>0</v>
      </c>
      <c r="O31" s="231">
        <f t="shared" si="6"/>
        <v>0</v>
      </c>
      <c r="Q31" s="226"/>
    </row>
    <row r="32" spans="1:28" ht="15.75" thickBot="1" x14ac:dyDescent="0.3">
      <c r="A32" s="170" t="s">
        <v>151</v>
      </c>
      <c r="B32" s="193" t="s">
        <v>150</v>
      </c>
      <c r="C32" s="194">
        <v>50</v>
      </c>
      <c r="D32" s="195" t="s">
        <v>1</v>
      </c>
      <c r="E32" s="221">
        <v>3</v>
      </c>
      <c r="F32" s="221">
        <v>0</v>
      </c>
      <c r="G32" s="222">
        <v>2</v>
      </c>
      <c r="H32" s="221">
        <v>2</v>
      </c>
      <c r="I32" s="221">
        <v>0</v>
      </c>
      <c r="J32" s="222">
        <v>4</v>
      </c>
      <c r="K32" s="223">
        <f t="shared" si="4"/>
        <v>11</v>
      </c>
      <c r="M32" s="224">
        <v>11</v>
      </c>
      <c r="N32" s="222">
        <f t="shared" si="5"/>
        <v>0</v>
      </c>
      <c r="O32" s="225">
        <f t="shared" si="6"/>
        <v>0</v>
      </c>
      <c r="Q32" s="226"/>
      <c r="S32" s="306" t="s">
        <v>186</v>
      </c>
      <c r="T32" s="307" t="s">
        <v>33</v>
      </c>
      <c r="U32" s="308"/>
      <c r="V32" s="309"/>
      <c r="W32" s="309"/>
      <c r="X32" s="310"/>
    </row>
    <row r="33" spans="1:24" x14ac:dyDescent="0.25">
      <c r="A33" s="179" t="s">
        <v>152</v>
      </c>
      <c r="B33" s="199" t="s">
        <v>150</v>
      </c>
      <c r="C33" s="200">
        <v>100</v>
      </c>
      <c r="D33" s="201" t="s">
        <v>1</v>
      </c>
      <c r="E33" s="227">
        <v>0</v>
      </c>
      <c r="F33" s="227">
        <v>3</v>
      </c>
      <c r="G33" s="228">
        <v>0</v>
      </c>
      <c r="H33" s="227">
        <v>1</v>
      </c>
      <c r="I33" s="227">
        <v>1</v>
      </c>
      <c r="J33" s="228">
        <v>0</v>
      </c>
      <c r="K33" s="229">
        <f t="shared" si="4"/>
        <v>5</v>
      </c>
      <c r="M33" s="230">
        <v>5</v>
      </c>
      <c r="N33" s="228">
        <f t="shared" si="5"/>
        <v>0</v>
      </c>
      <c r="O33" s="231">
        <f t="shared" si="6"/>
        <v>0</v>
      </c>
      <c r="Q33" s="226"/>
      <c r="S33" s="311" t="s">
        <v>299</v>
      </c>
      <c r="T33" s="312"/>
      <c r="U33" s="312"/>
      <c r="V33" s="312"/>
      <c r="W33" s="312"/>
      <c r="X33" s="313"/>
    </row>
    <row r="34" spans="1:24" x14ac:dyDescent="0.25">
      <c r="A34" s="170" t="s">
        <v>153</v>
      </c>
      <c r="B34" s="193" t="s">
        <v>154</v>
      </c>
      <c r="C34" s="194">
        <v>40</v>
      </c>
      <c r="D34" s="195" t="s">
        <v>1</v>
      </c>
      <c r="E34" s="221">
        <v>5</v>
      </c>
      <c r="F34" s="221">
        <v>2</v>
      </c>
      <c r="G34" s="222">
        <v>0</v>
      </c>
      <c r="H34" s="221">
        <v>2</v>
      </c>
      <c r="I34" s="221">
        <v>4</v>
      </c>
      <c r="J34" s="222">
        <v>0</v>
      </c>
      <c r="K34" s="223">
        <f t="shared" si="4"/>
        <v>13</v>
      </c>
      <c r="M34" s="224">
        <v>13</v>
      </c>
      <c r="N34" s="222">
        <f t="shared" si="5"/>
        <v>0</v>
      </c>
      <c r="O34" s="225">
        <f t="shared" si="6"/>
        <v>0</v>
      </c>
      <c r="Q34" s="226"/>
      <c r="S34" s="550">
        <v>17.510000000000002</v>
      </c>
      <c r="T34" s="546"/>
      <c r="U34" s="547">
        <v>67.7</v>
      </c>
      <c r="V34" s="546"/>
      <c r="W34" s="546"/>
      <c r="X34" s="549"/>
    </row>
    <row r="35" spans="1:24" x14ac:dyDescent="0.25">
      <c r="A35" s="179" t="s">
        <v>155</v>
      </c>
      <c r="B35" s="199" t="s">
        <v>156</v>
      </c>
      <c r="C35" s="200">
        <v>40</v>
      </c>
      <c r="D35" s="201" t="s">
        <v>1</v>
      </c>
      <c r="E35" s="227">
        <v>3</v>
      </c>
      <c r="F35" s="227">
        <v>2</v>
      </c>
      <c r="G35" s="228">
        <v>0</v>
      </c>
      <c r="H35" s="227">
        <v>2</v>
      </c>
      <c r="I35" s="227">
        <v>2</v>
      </c>
      <c r="J35" s="228">
        <v>0</v>
      </c>
      <c r="K35" s="229">
        <f t="shared" si="4"/>
        <v>9</v>
      </c>
      <c r="M35" s="230">
        <v>9</v>
      </c>
      <c r="N35" s="228">
        <f t="shared" si="5"/>
        <v>0</v>
      </c>
      <c r="O35" s="231">
        <f t="shared" si="6"/>
        <v>0</v>
      </c>
      <c r="Q35" s="226"/>
      <c r="S35" s="550">
        <v>36.93</v>
      </c>
      <c r="T35" s="546"/>
      <c r="U35" s="546"/>
      <c r="V35" s="546"/>
      <c r="W35" s="546"/>
      <c r="X35" s="549"/>
    </row>
    <row r="36" spans="1:24" x14ac:dyDescent="0.25">
      <c r="A36" s="170" t="s">
        <v>157</v>
      </c>
      <c r="B36" s="193" t="s">
        <v>156</v>
      </c>
      <c r="C36" s="194">
        <v>50</v>
      </c>
      <c r="D36" s="195" t="s">
        <v>1</v>
      </c>
      <c r="E36" s="221">
        <v>0</v>
      </c>
      <c r="F36" s="221">
        <v>1</v>
      </c>
      <c r="G36" s="222">
        <v>2</v>
      </c>
      <c r="H36" s="221">
        <v>1</v>
      </c>
      <c r="I36" s="221">
        <v>2</v>
      </c>
      <c r="J36" s="222">
        <v>2</v>
      </c>
      <c r="K36" s="223">
        <f t="shared" si="4"/>
        <v>8</v>
      </c>
      <c r="M36" s="224">
        <v>8</v>
      </c>
      <c r="N36" s="222">
        <f t="shared" si="5"/>
        <v>0</v>
      </c>
      <c r="O36" s="225">
        <f t="shared" si="6"/>
        <v>0</v>
      </c>
      <c r="Q36" s="226"/>
      <c r="S36" s="568"/>
      <c r="T36" s="562">
        <v>10.29</v>
      </c>
      <c r="U36" s="546"/>
      <c r="V36" s="546"/>
      <c r="W36" s="546"/>
      <c r="X36" s="549"/>
    </row>
    <row r="37" spans="1:24" x14ac:dyDescent="0.25">
      <c r="A37" s="179" t="s">
        <v>158</v>
      </c>
      <c r="B37" s="199" t="s">
        <v>156</v>
      </c>
      <c r="C37" s="200">
        <v>100</v>
      </c>
      <c r="D37" s="201" t="s">
        <v>1</v>
      </c>
      <c r="E37" s="227">
        <v>2</v>
      </c>
      <c r="F37" s="227">
        <v>3</v>
      </c>
      <c r="G37" s="228">
        <v>0</v>
      </c>
      <c r="H37" s="227">
        <v>3</v>
      </c>
      <c r="I37" s="227">
        <v>3</v>
      </c>
      <c r="J37" s="228">
        <v>0</v>
      </c>
      <c r="K37" s="229">
        <f t="shared" si="4"/>
        <v>11</v>
      </c>
      <c r="M37" s="230">
        <v>11</v>
      </c>
      <c r="N37" s="228">
        <f t="shared" si="5"/>
        <v>0</v>
      </c>
      <c r="O37" s="231">
        <f t="shared" si="6"/>
        <v>0</v>
      </c>
      <c r="Q37" s="226"/>
      <c r="S37" s="563" t="s">
        <v>298</v>
      </c>
      <c r="T37" s="564"/>
      <c r="U37" s="564"/>
      <c r="V37" s="564"/>
      <c r="W37" s="564"/>
      <c r="X37" s="565"/>
    </row>
    <row r="38" spans="1:24" x14ac:dyDescent="0.25">
      <c r="A38" s="170" t="s">
        <v>178</v>
      </c>
      <c r="B38" s="193" t="s">
        <v>159</v>
      </c>
      <c r="C38" s="194" t="s">
        <v>160</v>
      </c>
      <c r="D38" s="195" t="s">
        <v>1</v>
      </c>
      <c r="E38" s="221">
        <v>2</v>
      </c>
      <c r="F38" s="221">
        <v>0</v>
      </c>
      <c r="G38" s="222">
        <v>0</v>
      </c>
      <c r="H38" s="221">
        <v>0</v>
      </c>
      <c r="I38" s="221">
        <v>0</v>
      </c>
      <c r="J38" s="222">
        <v>0</v>
      </c>
      <c r="K38" s="223">
        <f t="shared" si="4"/>
        <v>2</v>
      </c>
      <c r="M38" s="224">
        <v>2</v>
      </c>
      <c r="N38" s="222">
        <f t="shared" si="5"/>
        <v>0</v>
      </c>
      <c r="O38" s="225">
        <f t="shared" si="6"/>
        <v>0</v>
      </c>
      <c r="Q38" s="226"/>
      <c r="S38" s="550">
        <v>70.42</v>
      </c>
      <c r="T38" s="547">
        <v>40</v>
      </c>
      <c r="U38" s="547">
        <v>28.31</v>
      </c>
      <c r="V38" s="547">
        <v>12.59</v>
      </c>
      <c r="W38" s="546"/>
      <c r="X38" s="549"/>
    </row>
    <row r="39" spans="1:24" x14ac:dyDescent="0.25">
      <c r="A39" s="179" t="s">
        <v>161</v>
      </c>
      <c r="B39" s="199" t="s">
        <v>159</v>
      </c>
      <c r="C39" s="200" t="s">
        <v>162</v>
      </c>
      <c r="D39" s="201" t="s">
        <v>1</v>
      </c>
      <c r="E39" s="227">
        <v>3</v>
      </c>
      <c r="F39" s="227">
        <v>3</v>
      </c>
      <c r="G39" s="228">
        <v>0</v>
      </c>
      <c r="H39" s="227">
        <v>3</v>
      </c>
      <c r="I39" s="227">
        <v>4</v>
      </c>
      <c r="J39" s="228">
        <v>0</v>
      </c>
      <c r="K39" s="229">
        <f t="shared" si="4"/>
        <v>13</v>
      </c>
      <c r="M39" s="230">
        <v>13</v>
      </c>
      <c r="N39" s="228">
        <f t="shared" si="5"/>
        <v>0</v>
      </c>
      <c r="O39" s="231">
        <f t="shared" si="6"/>
        <v>0</v>
      </c>
      <c r="Q39" s="226"/>
      <c r="S39" s="568"/>
      <c r="T39" s="546"/>
      <c r="U39" s="546"/>
      <c r="V39" s="562">
        <v>7.37</v>
      </c>
      <c r="W39" s="546"/>
      <c r="X39" s="549"/>
    </row>
    <row r="40" spans="1:24" x14ac:dyDescent="0.25">
      <c r="A40" s="170" t="s">
        <v>163</v>
      </c>
      <c r="B40" s="193" t="s">
        <v>164</v>
      </c>
      <c r="C40" s="194">
        <v>50</v>
      </c>
      <c r="D40" s="195" t="s">
        <v>1</v>
      </c>
      <c r="E40" s="221">
        <v>5</v>
      </c>
      <c r="F40" s="221">
        <v>1</v>
      </c>
      <c r="G40" s="222">
        <v>4</v>
      </c>
      <c r="H40" s="221">
        <v>4</v>
      </c>
      <c r="I40" s="323">
        <v>3</v>
      </c>
      <c r="J40" s="222">
        <v>5</v>
      </c>
      <c r="K40" s="223">
        <f t="shared" si="4"/>
        <v>22</v>
      </c>
      <c r="M40" s="224">
        <v>22</v>
      </c>
      <c r="N40" s="222">
        <f t="shared" si="5"/>
        <v>0</v>
      </c>
      <c r="O40" s="225">
        <f t="shared" si="6"/>
        <v>0</v>
      </c>
      <c r="Q40" s="226"/>
      <c r="S40" s="563" t="s">
        <v>306</v>
      </c>
      <c r="T40" s="564"/>
      <c r="U40" s="564"/>
      <c r="V40" s="564"/>
      <c r="W40" s="564"/>
      <c r="X40" s="565"/>
    </row>
    <row r="41" spans="1:24" x14ac:dyDescent="0.25">
      <c r="A41" s="179" t="s">
        <v>165</v>
      </c>
      <c r="B41" s="199" t="s">
        <v>164</v>
      </c>
      <c r="C41" s="200">
        <v>100</v>
      </c>
      <c r="D41" s="201" t="s">
        <v>1</v>
      </c>
      <c r="E41" s="227">
        <v>12</v>
      </c>
      <c r="F41" s="227">
        <v>5</v>
      </c>
      <c r="G41" s="228">
        <v>0</v>
      </c>
      <c r="H41" s="227">
        <v>8</v>
      </c>
      <c r="I41" s="227">
        <v>10</v>
      </c>
      <c r="J41" s="228">
        <v>0</v>
      </c>
      <c r="K41" s="229">
        <f t="shared" si="4"/>
        <v>35</v>
      </c>
      <c r="M41" s="230">
        <v>35</v>
      </c>
      <c r="N41" s="228">
        <f t="shared" si="5"/>
        <v>0</v>
      </c>
      <c r="O41" s="231">
        <f t="shared" si="6"/>
        <v>0</v>
      </c>
      <c r="Q41" s="226"/>
      <c r="S41" s="550">
        <v>30.41</v>
      </c>
      <c r="T41" s="547">
        <v>40.21</v>
      </c>
      <c r="U41" s="547">
        <v>16.739999999999998</v>
      </c>
      <c r="V41" s="546"/>
      <c r="W41" s="547">
        <v>23.97</v>
      </c>
      <c r="X41" s="549"/>
    </row>
    <row r="42" spans="1:24" x14ac:dyDescent="0.25">
      <c r="A42" s="170" t="s">
        <v>171</v>
      </c>
      <c r="B42" s="193" t="s">
        <v>168</v>
      </c>
      <c r="C42" s="194">
        <v>100</v>
      </c>
      <c r="D42" s="195" t="s">
        <v>1</v>
      </c>
      <c r="E42" s="221">
        <v>2</v>
      </c>
      <c r="F42" s="221">
        <v>1</v>
      </c>
      <c r="G42" s="222">
        <v>0</v>
      </c>
      <c r="H42" s="221">
        <v>2</v>
      </c>
      <c r="I42" s="221">
        <v>1</v>
      </c>
      <c r="J42" s="222">
        <v>0</v>
      </c>
      <c r="K42" s="223">
        <f t="shared" si="4"/>
        <v>6</v>
      </c>
      <c r="M42" s="224">
        <v>6</v>
      </c>
      <c r="N42" s="222">
        <f t="shared" si="5"/>
        <v>0</v>
      </c>
      <c r="O42" s="225">
        <f t="shared" si="6"/>
        <v>0</v>
      </c>
      <c r="Q42" s="226"/>
      <c r="S42" s="568"/>
      <c r="T42" s="569"/>
      <c r="U42" s="569"/>
      <c r="V42" s="570">
        <v>313.45999999999998</v>
      </c>
      <c r="W42" s="569"/>
      <c r="X42" s="571"/>
    </row>
    <row r="43" spans="1:24" x14ac:dyDescent="0.25">
      <c r="A43" s="179" t="s">
        <v>170</v>
      </c>
      <c r="B43" s="199" t="s">
        <v>169</v>
      </c>
      <c r="C43" s="200" t="s">
        <v>160</v>
      </c>
      <c r="D43" s="201" t="s">
        <v>1</v>
      </c>
      <c r="E43" s="227">
        <v>2</v>
      </c>
      <c r="F43" s="227">
        <v>1</v>
      </c>
      <c r="G43" s="228">
        <v>0</v>
      </c>
      <c r="H43" s="227">
        <v>0</v>
      </c>
      <c r="I43" s="227">
        <v>1</v>
      </c>
      <c r="J43" s="228">
        <v>0</v>
      </c>
      <c r="K43" s="229">
        <f t="shared" si="4"/>
        <v>4</v>
      </c>
      <c r="M43" s="230">
        <v>4</v>
      </c>
      <c r="N43" s="228">
        <f t="shared" si="5"/>
        <v>0</v>
      </c>
      <c r="O43" s="231">
        <f t="shared" si="6"/>
        <v>0</v>
      </c>
      <c r="Q43" s="226"/>
      <c r="S43" s="545"/>
      <c r="T43" s="546"/>
      <c r="U43" s="546"/>
      <c r="V43" s="572">
        <v>79.540000000000006</v>
      </c>
      <c r="W43" s="572">
        <v>50.4</v>
      </c>
      <c r="X43" s="549"/>
    </row>
    <row r="44" spans="1:24" x14ac:dyDescent="0.25">
      <c r="A44" s="170" t="s">
        <v>172</v>
      </c>
      <c r="B44" s="193" t="s">
        <v>166</v>
      </c>
      <c r="C44" s="194" t="s">
        <v>167</v>
      </c>
      <c r="D44" s="195" t="s">
        <v>1</v>
      </c>
      <c r="E44" s="221">
        <v>1</v>
      </c>
      <c r="F44" s="221">
        <v>0</v>
      </c>
      <c r="G44" s="222">
        <v>0</v>
      </c>
      <c r="H44" s="221">
        <v>0</v>
      </c>
      <c r="I44" s="221">
        <v>1</v>
      </c>
      <c r="J44" s="222">
        <v>0</v>
      </c>
      <c r="K44" s="223">
        <f t="shared" si="4"/>
        <v>2</v>
      </c>
      <c r="M44" s="224">
        <v>2</v>
      </c>
      <c r="N44" s="222">
        <f t="shared" si="5"/>
        <v>0</v>
      </c>
      <c r="O44" s="225">
        <f t="shared" si="6"/>
        <v>0</v>
      </c>
      <c r="Q44" s="226"/>
      <c r="R44"/>
      <c r="S44" s="563" t="s">
        <v>300</v>
      </c>
      <c r="T44" s="564"/>
      <c r="U44" s="564"/>
      <c r="V44" s="564"/>
      <c r="W44" s="564"/>
      <c r="X44" s="565"/>
    </row>
    <row r="45" spans="1:24" x14ac:dyDescent="0.25">
      <c r="A45" s="179" t="s">
        <v>179</v>
      </c>
      <c r="B45" s="199" t="s">
        <v>141</v>
      </c>
      <c r="C45" s="200" t="s">
        <v>180</v>
      </c>
      <c r="D45" s="201" t="s">
        <v>1</v>
      </c>
      <c r="E45" s="227">
        <v>1</v>
      </c>
      <c r="F45" s="227">
        <v>0</v>
      </c>
      <c r="G45" s="228">
        <v>0</v>
      </c>
      <c r="H45" s="227">
        <v>2</v>
      </c>
      <c r="I45" s="227">
        <v>1</v>
      </c>
      <c r="J45" s="228">
        <v>0</v>
      </c>
      <c r="K45" s="229">
        <f t="shared" si="4"/>
        <v>4</v>
      </c>
      <c r="M45" s="230">
        <v>4</v>
      </c>
      <c r="N45" s="228">
        <f t="shared" si="5"/>
        <v>0</v>
      </c>
      <c r="O45" s="231">
        <f t="shared" si="6"/>
        <v>0</v>
      </c>
      <c r="Q45" s="226"/>
      <c r="R45"/>
      <c r="S45" s="550">
        <v>43.67</v>
      </c>
      <c r="T45" s="546"/>
      <c r="U45" s="547">
        <v>82.71</v>
      </c>
      <c r="V45" s="546"/>
      <c r="W45" s="546"/>
      <c r="X45" s="549"/>
    </row>
    <row r="46" spans="1:24" ht="15.75" thickBot="1" x14ac:dyDescent="0.3">
      <c r="A46" s="170" t="s">
        <v>304</v>
      </c>
      <c r="B46" s="193" t="s">
        <v>159</v>
      </c>
      <c r="C46" s="194" t="s">
        <v>180</v>
      </c>
      <c r="D46" s="195" t="s">
        <v>1</v>
      </c>
      <c r="E46" s="221">
        <v>1</v>
      </c>
      <c r="F46" s="221">
        <v>0</v>
      </c>
      <c r="G46" s="222">
        <v>0</v>
      </c>
      <c r="H46" s="221">
        <v>0</v>
      </c>
      <c r="I46" s="221">
        <v>0</v>
      </c>
      <c r="J46" s="222">
        <v>0</v>
      </c>
      <c r="K46" s="223">
        <f t="shared" ref="K46" si="9">SUM(E46:J46)</f>
        <v>1</v>
      </c>
      <c r="M46" s="224">
        <v>1</v>
      </c>
      <c r="N46" s="222">
        <f t="shared" si="5"/>
        <v>0</v>
      </c>
      <c r="O46" s="225">
        <f t="shared" si="6"/>
        <v>0</v>
      </c>
      <c r="Q46" s="226"/>
      <c r="R46"/>
      <c r="S46" s="563" t="s">
        <v>301</v>
      </c>
      <c r="T46" s="564"/>
      <c r="U46" s="564"/>
      <c r="V46" s="564"/>
      <c r="W46" s="564"/>
      <c r="X46" s="565"/>
    </row>
    <row r="47" spans="1:24" ht="15.75" thickBot="1" x14ac:dyDescent="0.3">
      <c r="A47" s="151" t="s">
        <v>124</v>
      </c>
      <c r="B47" s="191"/>
      <c r="C47" s="153"/>
      <c r="D47" s="154"/>
      <c r="E47" s="155" t="s">
        <v>283</v>
      </c>
      <c r="F47" s="155" t="s">
        <v>284</v>
      </c>
      <c r="G47" s="526" t="s">
        <v>303</v>
      </c>
      <c r="H47" s="155" t="s">
        <v>282</v>
      </c>
      <c r="I47" s="155" t="s">
        <v>281</v>
      </c>
      <c r="J47" s="155" t="s">
        <v>302</v>
      </c>
      <c r="K47" s="271" t="s">
        <v>101</v>
      </c>
      <c r="M47" s="168" t="s">
        <v>38</v>
      </c>
      <c r="N47" s="614" t="s">
        <v>110</v>
      </c>
      <c r="O47" s="615"/>
      <c r="Q47" s="169" t="s">
        <v>102</v>
      </c>
      <c r="R47"/>
      <c r="S47" s="550">
        <v>58.02</v>
      </c>
      <c r="T47" s="546"/>
      <c r="U47" s="546"/>
      <c r="V47" s="546"/>
      <c r="W47" s="546"/>
      <c r="X47" s="549"/>
    </row>
    <row r="48" spans="1:24" x14ac:dyDescent="0.25">
      <c r="A48" s="170"/>
      <c r="B48" s="193" t="s">
        <v>128</v>
      </c>
      <c r="C48" s="194">
        <v>40</v>
      </c>
      <c r="D48" s="195" t="s">
        <v>33</v>
      </c>
      <c r="E48" s="196">
        <f>SUM(S55:X59)/100</f>
        <v>7.1574</v>
      </c>
      <c r="F48" s="196">
        <f>SUM(S61:X62)/100</f>
        <v>6.2670000000000003</v>
      </c>
      <c r="G48" s="344"/>
      <c r="H48" s="196">
        <f>SUM(S64:X65)/100</f>
        <v>1.9332</v>
      </c>
      <c r="I48" s="196">
        <f>SUM(S67:X70)/100</f>
        <v>5.5115000000000007</v>
      </c>
      <c r="J48" s="344"/>
      <c r="K48" s="198">
        <f>SUM(E48:J48)</f>
        <v>20.8691</v>
      </c>
      <c r="M48" s="232">
        <v>20.87</v>
      </c>
      <c r="N48" s="197">
        <f>M48-K48</f>
        <v>9.0000000000145519E-4</v>
      </c>
      <c r="O48" s="225">
        <f>N48/M48</f>
        <v>4.3124101581286781E-5</v>
      </c>
      <c r="Q48" s="233"/>
      <c r="R48"/>
      <c r="S48" s="550">
        <v>11.73</v>
      </c>
      <c r="T48" s="566">
        <v>47.24</v>
      </c>
      <c r="U48" s="547">
        <v>14.89</v>
      </c>
      <c r="V48" s="546"/>
      <c r="W48" s="547">
        <v>80.61</v>
      </c>
      <c r="X48" s="567">
        <v>49.7</v>
      </c>
    </row>
    <row r="49" spans="1:28" x14ac:dyDescent="0.25">
      <c r="A49" s="179"/>
      <c r="B49" s="199" t="s">
        <v>128</v>
      </c>
      <c r="C49" s="200">
        <v>50</v>
      </c>
      <c r="D49" s="201" t="s">
        <v>33</v>
      </c>
      <c r="E49" s="202">
        <f>SUM(S47:X48)/100</f>
        <v>2.6219000000000001</v>
      </c>
      <c r="F49" s="202">
        <f>SUM(S45:X45)/100</f>
        <v>1.2638</v>
      </c>
      <c r="G49" s="203">
        <f>SUM(S50:X51)/100</f>
        <v>5.4666999999999994</v>
      </c>
      <c r="H49" s="202">
        <f>SUM(S38:X39)/100</f>
        <v>1.5869</v>
      </c>
      <c r="I49" s="202">
        <f>SUM(S34:X36)/100</f>
        <v>1.3243</v>
      </c>
      <c r="J49" s="203">
        <f>SUM(S41:X43)/100</f>
        <v>5.5472999999999999</v>
      </c>
      <c r="K49" s="324">
        <f>SUM(E49:J49)</f>
        <v>17.8109</v>
      </c>
      <c r="M49" s="234">
        <v>17.809999999999999</v>
      </c>
      <c r="N49" s="203">
        <f>M49-K49</f>
        <v>-9.0000000000145519E-4</v>
      </c>
      <c r="O49" s="231">
        <f>N49/M49</f>
        <v>-5.0533408197723485E-5</v>
      </c>
      <c r="Q49" s="235"/>
      <c r="R49"/>
      <c r="S49" s="563" t="s">
        <v>305</v>
      </c>
      <c r="T49" s="564"/>
      <c r="U49" s="564"/>
      <c r="V49" s="564"/>
      <c r="W49" s="564"/>
      <c r="X49" s="565"/>
      <c r="Y49"/>
      <c r="Z49"/>
      <c r="AB49"/>
    </row>
    <row r="50" spans="1:28" x14ac:dyDescent="0.25">
      <c r="A50" s="170"/>
      <c r="B50" s="193" t="s">
        <v>128</v>
      </c>
      <c r="C50" s="194">
        <v>100</v>
      </c>
      <c r="D50" s="195" t="s">
        <v>33</v>
      </c>
      <c r="E50" s="196">
        <f>SUM(S13:AB18)/100</f>
        <v>4.4940999999999995</v>
      </c>
      <c r="F50" s="196">
        <f>SUM(S20:AB21)/100</f>
        <v>4.0449999999999999</v>
      </c>
      <c r="G50" s="344"/>
      <c r="H50" s="196">
        <f>SUM(S23:AB27)/100</f>
        <v>5.861600000000001</v>
      </c>
      <c r="I50" s="196">
        <f>SUM(S29:AB30)/100</f>
        <v>6.4431999999999992</v>
      </c>
      <c r="J50" s="344"/>
      <c r="K50" s="198">
        <f>SUM(E50:J50)</f>
        <v>20.843899999999998</v>
      </c>
      <c r="M50" s="232">
        <v>20.84</v>
      </c>
      <c r="N50" s="197">
        <f>M50-K50</f>
        <v>-3.8999999999980162E-3</v>
      </c>
      <c r="O50" s="225">
        <f>N50/M50</f>
        <v>-1.871401151630526E-4</v>
      </c>
      <c r="Q50" s="226"/>
      <c r="R50"/>
      <c r="S50" s="573">
        <v>15.06</v>
      </c>
      <c r="T50" s="547">
        <v>67.5</v>
      </c>
      <c r="U50" s="562">
        <v>306.20999999999998</v>
      </c>
      <c r="V50" s="547">
        <v>31.77</v>
      </c>
      <c r="W50" s="546"/>
      <c r="X50" s="549"/>
      <c r="AA50"/>
    </row>
    <row r="51" spans="1:28" ht="15.75" thickBot="1" x14ac:dyDescent="0.3">
      <c r="A51" s="188"/>
      <c r="B51" s="211" t="s">
        <v>128</v>
      </c>
      <c r="C51" s="212">
        <v>150</v>
      </c>
      <c r="D51" s="213" t="s">
        <v>33</v>
      </c>
      <c r="E51" s="214">
        <f>S3</f>
        <v>0.18</v>
      </c>
      <c r="F51" s="214">
        <f>S5</f>
        <v>0.17269999999999999</v>
      </c>
      <c r="G51" s="345"/>
      <c r="H51" s="214">
        <f>S7</f>
        <v>0.19550000000000001</v>
      </c>
      <c r="I51" s="214">
        <f>S9</f>
        <v>0.28999999999999998</v>
      </c>
      <c r="J51" s="345"/>
      <c r="K51" s="219">
        <f>SUM(E51:J51)</f>
        <v>0.83820000000000006</v>
      </c>
      <c r="M51" s="236">
        <v>0.84</v>
      </c>
      <c r="N51" s="215">
        <f>M51-K51</f>
        <v>1.7999999999999128E-3</v>
      </c>
      <c r="O51" s="237">
        <f>N51/M51</f>
        <v>2.1428571428570393E-3</v>
      </c>
      <c r="P51"/>
      <c r="Q51" s="220"/>
      <c r="R51"/>
      <c r="S51" s="551"/>
      <c r="T51" s="552"/>
      <c r="U51" s="552"/>
      <c r="V51" s="574">
        <v>63.48</v>
      </c>
      <c r="W51" s="574">
        <v>62.65</v>
      </c>
      <c r="X51" s="553"/>
    </row>
    <row r="52" spans="1:28" ht="15.75" thickBot="1" x14ac:dyDescent="0.3">
      <c r="A52"/>
      <c r="B52"/>
      <c r="C52"/>
      <c r="D52"/>
      <c r="E52"/>
      <c r="F52"/>
      <c r="G52"/>
      <c r="H52"/>
      <c r="I52"/>
      <c r="J52"/>
      <c r="K52"/>
      <c r="M52"/>
      <c r="N52"/>
      <c r="O52"/>
      <c r="P52"/>
      <c r="Q52"/>
      <c r="R52"/>
      <c r="S52"/>
      <c r="T52"/>
      <c r="U52"/>
      <c r="V52"/>
      <c r="W52"/>
      <c r="X52"/>
    </row>
    <row r="53" spans="1:28" ht="15.75" thickBot="1" x14ac:dyDescent="0.3">
      <c r="A53" s="314" t="s">
        <v>173</v>
      </c>
      <c r="B53" s="315"/>
      <c r="C53" s="316"/>
      <c r="D53" s="609"/>
      <c r="E53" s="316" t="s">
        <v>2</v>
      </c>
      <c r="F53" s="316" t="s">
        <v>3</v>
      </c>
      <c r="G53" s="316" t="s">
        <v>1</v>
      </c>
      <c r="H53" s="599" t="s">
        <v>187</v>
      </c>
      <c r="I53" s="600" t="s">
        <v>6</v>
      </c>
      <c r="K53"/>
      <c r="M53"/>
      <c r="N53"/>
      <c r="O53"/>
      <c r="P53"/>
      <c r="Q53"/>
      <c r="R53"/>
      <c r="S53" s="306" t="s">
        <v>190</v>
      </c>
      <c r="T53" s="307" t="s">
        <v>33</v>
      </c>
      <c r="U53" s="308"/>
      <c r="V53" s="308"/>
      <c r="W53" s="309"/>
      <c r="X53" s="310"/>
    </row>
    <row r="54" spans="1:28" x14ac:dyDescent="0.25">
      <c r="A54" s="317"/>
      <c r="B54" s="180" t="s">
        <v>188</v>
      </c>
      <c r="C54" s="318"/>
      <c r="D54" s="610" t="s">
        <v>33</v>
      </c>
      <c r="E54" s="605">
        <v>0.05</v>
      </c>
      <c r="F54" s="605"/>
      <c r="G54" s="606">
        <v>1</v>
      </c>
      <c r="H54" s="601"/>
      <c r="I54" s="602">
        <f>PI()*E54*G54</f>
        <v>0.15707963267948966</v>
      </c>
      <c r="K54"/>
      <c r="M54"/>
      <c r="N54"/>
      <c r="O54"/>
      <c r="P54"/>
      <c r="R54"/>
      <c r="S54" s="311" t="s">
        <v>301</v>
      </c>
      <c r="T54" s="312"/>
      <c r="U54" s="312"/>
      <c r="V54" s="312"/>
      <c r="W54" s="312"/>
      <c r="X54" s="313"/>
    </row>
    <row r="55" spans="1:28" ht="15.75" thickBot="1" x14ac:dyDescent="0.3">
      <c r="A55" s="320"/>
      <c r="B55" s="189" t="s">
        <v>189</v>
      </c>
      <c r="C55" s="321"/>
      <c r="D55" s="611" t="s">
        <v>37</v>
      </c>
      <c r="E55" s="607">
        <v>0.65</v>
      </c>
      <c r="F55" s="607">
        <v>0.65</v>
      </c>
      <c r="G55" s="608">
        <v>1</v>
      </c>
      <c r="H55" s="603">
        <f>G55*E55*F55</f>
        <v>0.42250000000000004</v>
      </c>
      <c r="I55" s="604"/>
      <c r="K55"/>
      <c r="M55"/>
      <c r="N55"/>
      <c r="O55"/>
      <c r="P55"/>
      <c r="R55"/>
      <c r="S55" s="557">
        <v>2.4500000000000002</v>
      </c>
      <c r="T55" s="562">
        <v>17.57</v>
      </c>
      <c r="U55" s="562">
        <v>65.03</v>
      </c>
      <c r="V55" s="562">
        <v>65.13</v>
      </c>
      <c r="W55" s="547">
        <v>206.43</v>
      </c>
      <c r="X55" s="549"/>
    </row>
    <row r="56" spans="1:28" x14ac:dyDescent="0.25">
      <c r="A56"/>
      <c r="B56"/>
      <c r="C56"/>
      <c r="D56"/>
      <c r="E56"/>
      <c r="F56"/>
      <c r="G56"/>
      <c r="H56"/>
      <c r="I56"/>
      <c r="J56"/>
      <c r="K56"/>
      <c r="M56"/>
      <c r="N56"/>
      <c r="O56"/>
      <c r="P56"/>
      <c r="R56"/>
      <c r="S56" s="545"/>
      <c r="T56" s="546"/>
      <c r="U56" s="546"/>
      <c r="V56" s="562">
        <v>11.52</v>
      </c>
      <c r="W56" s="546"/>
      <c r="X56" s="549"/>
    </row>
    <row r="57" spans="1:28" x14ac:dyDescent="0.25">
      <c r="A57"/>
      <c r="B57"/>
      <c r="C57"/>
      <c r="D57"/>
      <c r="E57"/>
      <c r="F57"/>
      <c r="G57"/>
      <c r="H57"/>
      <c r="I57"/>
      <c r="J57"/>
      <c r="K57"/>
      <c r="M57"/>
      <c r="N57"/>
      <c r="O57"/>
      <c r="P57"/>
      <c r="Q57"/>
      <c r="R57"/>
      <c r="S57" s="557">
        <v>52.84</v>
      </c>
      <c r="T57" s="562">
        <v>13.04</v>
      </c>
      <c r="U57" s="562">
        <v>40.76</v>
      </c>
      <c r="V57" s="575">
        <v>7.49</v>
      </c>
      <c r="W57" s="546"/>
      <c r="X57" s="549"/>
    </row>
    <row r="58" spans="1:28" x14ac:dyDescent="0.25">
      <c r="A58"/>
      <c r="B58"/>
      <c r="C58"/>
      <c r="D58"/>
      <c r="E58"/>
      <c r="F58"/>
      <c r="G58"/>
      <c r="H58"/>
      <c r="I58"/>
      <c r="J58"/>
      <c r="K58"/>
      <c r="M58"/>
      <c r="N58"/>
      <c r="O58"/>
      <c r="P58"/>
      <c r="Q58"/>
      <c r="R58"/>
      <c r="S58" s="545"/>
      <c r="T58" s="562">
        <v>39.49</v>
      </c>
      <c r="U58" s="546"/>
      <c r="V58" s="546"/>
      <c r="W58" s="546"/>
      <c r="X58" s="549"/>
    </row>
    <row r="59" spans="1:28" x14ac:dyDescent="0.25">
      <c r="A59"/>
      <c r="B59"/>
      <c r="C59"/>
      <c r="D59"/>
      <c r="E59"/>
      <c r="F59"/>
      <c r="G59"/>
      <c r="H59"/>
      <c r="I59"/>
      <c r="J59"/>
      <c r="K59"/>
      <c r="M59"/>
      <c r="N59"/>
      <c r="O59"/>
      <c r="P59"/>
      <c r="Q59"/>
      <c r="R59"/>
      <c r="S59" s="557">
        <v>80.77</v>
      </c>
      <c r="T59" s="547">
        <v>22.63</v>
      </c>
      <c r="U59" s="547">
        <v>90.59</v>
      </c>
      <c r="V59" s="546"/>
      <c r="W59" s="546"/>
      <c r="X59" s="549"/>
    </row>
    <row r="60" spans="1:28" x14ac:dyDescent="0.25">
      <c r="A60"/>
      <c r="B60"/>
      <c r="C60"/>
      <c r="D60"/>
      <c r="E60"/>
      <c r="F60"/>
      <c r="G60"/>
      <c r="H60"/>
      <c r="I60"/>
      <c r="J60"/>
      <c r="K60"/>
      <c r="M60"/>
      <c r="N60"/>
      <c r="O60"/>
      <c r="P60"/>
      <c r="Q60"/>
      <c r="R60"/>
      <c r="S60" s="563" t="s">
        <v>300</v>
      </c>
      <c r="T60" s="564"/>
      <c r="U60" s="564"/>
      <c r="V60" s="564"/>
      <c r="W60" s="564"/>
      <c r="X60" s="565"/>
    </row>
    <row r="61" spans="1:28" ht="15.75" thickBot="1" x14ac:dyDescent="0.3">
      <c r="A61"/>
      <c r="B61"/>
      <c r="C61"/>
      <c r="D61"/>
      <c r="E61"/>
      <c r="F61"/>
      <c r="G61"/>
      <c r="H61"/>
      <c r="I61"/>
      <c r="J61"/>
      <c r="K61"/>
      <c r="M61"/>
      <c r="N61"/>
      <c r="O61"/>
      <c r="P61"/>
      <c r="Q61"/>
      <c r="R61"/>
      <c r="S61" s="557">
        <v>94.5</v>
      </c>
      <c r="T61" s="547">
        <v>171</v>
      </c>
      <c r="U61" s="569"/>
      <c r="V61" s="569"/>
      <c r="W61" s="569"/>
      <c r="X61" s="549"/>
    </row>
    <row r="62" spans="1:28" x14ac:dyDescent="0.25">
      <c r="A62"/>
      <c r="B62"/>
      <c r="C62"/>
      <c r="D62"/>
      <c r="E62"/>
      <c r="F62"/>
      <c r="G62"/>
      <c r="H62"/>
      <c r="I62"/>
      <c r="J62"/>
      <c r="K62"/>
      <c r="M62"/>
      <c r="N62"/>
      <c r="O62"/>
      <c r="P62"/>
      <c r="Q62" s="540" t="s">
        <v>184</v>
      </c>
      <c r="R62"/>
      <c r="S62" s="557">
        <v>65.53</v>
      </c>
      <c r="T62" s="547">
        <v>26.23</v>
      </c>
      <c r="U62" s="547">
        <v>236.18</v>
      </c>
      <c r="V62" s="547">
        <v>33.26</v>
      </c>
      <c r="W62" s="569"/>
      <c r="X62" s="549"/>
    </row>
    <row r="63" spans="1:28" x14ac:dyDescent="0.25">
      <c r="A63"/>
      <c r="B63"/>
      <c r="C63"/>
      <c r="D63"/>
      <c r="E63"/>
      <c r="F63"/>
      <c r="G63"/>
      <c r="H63"/>
      <c r="I63"/>
      <c r="J63"/>
      <c r="K63"/>
      <c r="M63"/>
      <c r="N63"/>
      <c r="O63"/>
      <c r="P63"/>
      <c r="Q63" s="322" t="s">
        <v>185</v>
      </c>
      <c r="R63"/>
      <c r="S63" s="563" t="s">
        <v>298</v>
      </c>
      <c r="T63" s="564"/>
      <c r="U63" s="564"/>
      <c r="V63" s="564"/>
      <c r="W63" s="564"/>
      <c r="X63" s="565"/>
    </row>
    <row r="64" spans="1:28" ht="15.75" thickBot="1" x14ac:dyDescent="0.3">
      <c r="A64"/>
      <c r="B64"/>
      <c r="C64"/>
      <c r="D64"/>
      <c r="E64"/>
      <c r="F64"/>
      <c r="G64"/>
      <c r="H64"/>
      <c r="I64"/>
      <c r="J64"/>
      <c r="K64"/>
      <c r="M64"/>
      <c r="N64"/>
      <c r="O64"/>
      <c r="P64"/>
      <c r="Q64" s="556" t="s">
        <v>191</v>
      </c>
      <c r="R64"/>
      <c r="S64" s="557">
        <v>13.04</v>
      </c>
      <c r="T64" s="562">
        <v>85.06</v>
      </c>
      <c r="U64" s="562">
        <v>56.99</v>
      </c>
      <c r="V64" s="547">
        <v>19.41</v>
      </c>
      <c r="W64" s="547">
        <v>9.1</v>
      </c>
      <c r="X64" s="549"/>
    </row>
    <row r="65" spans="1:24" x14ac:dyDescent="0.25">
      <c r="A65"/>
      <c r="B65"/>
      <c r="C65"/>
      <c r="D65"/>
      <c r="E65"/>
      <c r="F65"/>
      <c r="G65"/>
      <c r="H65"/>
      <c r="I65"/>
      <c r="J65"/>
      <c r="K65"/>
      <c r="M65"/>
      <c r="N65"/>
      <c r="O65"/>
      <c r="P65"/>
      <c r="Q65"/>
      <c r="R65"/>
      <c r="S65" s="568"/>
      <c r="T65" s="570">
        <v>9.7200000000000006</v>
      </c>
      <c r="U65" s="569"/>
      <c r="V65" s="569"/>
      <c r="W65" s="569"/>
      <c r="X65" s="576"/>
    </row>
    <row r="66" spans="1:24" x14ac:dyDescent="0.25">
      <c r="A66"/>
      <c r="B66"/>
      <c r="C66"/>
      <c r="D66"/>
      <c r="E66"/>
      <c r="F66"/>
      <c r="G66"/>
      <c r="H66"/>
      <c r="I66"/>
      <c r="J66"/>
      <c r="K66"/>
      <c r="M66"/>
      <c r="N66"/>
      <c r="O66"/>
      <c r="P66"/>
      <c r="Q66"/>
      <c r="R66"/>
      <c r="S66" s="563" t="s">
        <v>299</v>
      </c>
      <c r="T66" s="564"/>
      <c r="U66" s="564"/>
      <c r="V66" s="564"/>
      <c r="W66" s="564"/>
      <c r="X66" s="565"/>
    </row>
    <row r="67" spans="1:24" x14ac:dyDescent="0.25">
      <c r="A67"/>
      <c r="B67"/>
      <c r="C67"/>
      <c r="D67"/>
      <c r="E67"/>
      <c r="F67"/>
      <c r="G67"/>
      <c r="H67"/>
      <c r="I67"/>
      <c r="J67"/>
      <c r="K67"/>
      <c r="M67"/>
      <c r="N67"/>
      <c r="O67"/>
      <c r="P67"/>
      <c r="Q67"/>
      <c r="R67"/>
      <c r="S67" s="557">
        <v>12.99</v>
      </c>
      <c r="T67" s="562">
        <v>84.18</v>
      </c>
      <c r="U67" s="562">
        <v>57.19</v>
      </c>
      <c r="V67" s="547">
        <v>16.100000000000001</v>
      </c>
      <c r="W67" s="547">
        <v>9.02</v>
      </c>
      <c r="X67" s="567">
        <v>5.5</v>
      </c>
    </row>
    <row r="68" spans="1:24" x14ac:dyDescent="0.25">
      <c r="A68"/>
      <c r="B68"/>
      <c r="C68"/>
      <c r="D68"/>
      <c r="E68"/>
      <c r="F68"/>
      <c r="G68"/>
      <c r="H68"/>
      <c r="I68"/>
      <c r="J68"/>
      <c r="K68"/>
      <c r="M68"/>
      <c r="N68"/>
      <c r="O68"/>
      <c r="P68"/>
      <c r="Q68"/>
      <c r="R68"/>
      <c r="S68" s="545"/>
      <c r="T68" s="562">
        <v>9.5</v>
      </c>
      <c r="U68" s="546"/>
      <c r="V68" s="546"/>
      <c r="W68" s="547">
        <v>1.62</v>
      </c>
      <c r="X68" s="549"/>
    </row>
    <row r="69" spans="1:24" x14ac:dyDescent="0.25">
      <c r="A69"/>
      <c r="B69"/>
      <c r="C69"/>
      <c r="D69"/>
      <c r="E69"/>
      <c r="F69"/>
      <c r="G69"/>
      <c r="H69"/>
      <c r="I69"/>
      <c r="J69"/>
      <c r="K69"/>
      <c r="M69"/>
      <c r="N69"/>
      <c r="O69"/>
      <c r="P69"/>
      <c r="Q69"/>
      <c r="R69"/>
      <c r="S69" s="557">
        <v>45.79</v>
      </c>
      <c r="T69" s="562">
        <v>64.72</v>
      </c>
      <c r="U69" s="562">
        <v>24.85</v>
      </c>
      <c r="V69" s="547">
        <v>51.97</v>
      </c>
      <c r="W69" s="547">
        <v>134.5</v>
      </c>
      <c r="X69" s="549"/>
    </row>
    <row r="70" spans="1:24" ht="15.75" thickBot="1" x14ac:dyDescent="0.3">
      <c r="A70"/>
      <c r="B70"/>
      <c r="C70"/>
      <c r="D70"/>
      <c r="E70"/>
      <c r="F70"/>
      <c r="G70"/>
      <c r="H70"/>
      <c r="I70"/>
      <c r="J70"/>
      <c r="K70"/>
      <c r="M70"/>
      <c r="N70"/>
      <c r="O70"/>
      <c r="P70"/>
      <c r="Q70"/>
      <c r="R70"/>
      <c r="S70" s="551"/>
      <c r="T70" s="577">
        <v>33.22</v>
      </c>
      <c r="U70" s="552"/>
      <c r="V70" s="552"/>
      <c r="W70" s="552"/>
      <c r="X70" s="553"/>
    </row>
    <row r="71" spans="1:24" x14ac:dyDescent="0.25">
      <c r="A71"/>
      <c r="B71"/>
      <c r="C71"/>
      <c r="D71"/>
      <c r="E71"/>
      <c r="F71"/>
      <c r="G71"/>
      <c r="H71"/>
      <c r="I71"/>
      <c r="J71"/>
      <c r="K71"/>
      <c r="M71"/>
      <c r="N71"/>
      <c r="O71"/>
      <c r="P71"/>
      <c r="Q71"/>
      <c r="R71"/>
    </row>
    <row r="72" spans="1:24" x14ac:dyDescent="0.25">
      <c r="A72"/>
      <c r="B72"/>
      <c r="C72"/>
      <c r="D72"/>
      <c r="E72"/>
      <c r="F72"/>
      <c r="G72"/>
      <c r="H72"/>
      <c r="I72"/>
      <c r="J72"/>
      <c r="K72"/>
      <c r="M72"/>
      <c r="N72"/>
      <c r="O72"/>
      <c r="P72"/>
      <c r="Q72"/>
      <c r="R72"/>
      <c r="S72"/>
      <c r="T72"/>
      <c r="U72"/>
      <c r="V72"/>
      <c r="W72"/>
      <c r="X72"/>
    </row>
    <row r="73" spans="1:24" x14ac:dyDescent="0.25">
      <c r="A73"/>
      <c r="B73"/>
      <c r="C73"/>
      <c r="D73"/>
      <c r="E73"/>
      <c r="F73"/>
      <c r="G73"/>
      <c r="H73"/>
      <c r="I73"/>
      <c r="J73"/>
      <c r="K73"/>
      <c r="M73"/>
      <c r="N73"/>
      <c r="O73"/>
      <c r="P73"/>
      <c r="Q73"/>
      <c r="R73"/>
    </row>
    <row r="74" spans="1:24" x14ac:dyDescent="0.25">
      <c r="A74"/>
      <c r="B74"/>
      <c r="C74"/>
      <c r="D74"/>
      <c r="E74"/>
      <c r="F74"/>
      <c r="G74"/>
      <c r="H74"/>
      <c r="I74"/>
      <c r="J74"/>
      <c r="K74"/>
      <c r="M74"/>
      <c r="N74"/>
      <c r="O74"/>
      <c r="P74"/>
      <c r="Q74"/>
    </row>
    <row r="75" spans="1:24" x14ac:dyDescent="0.25">
      <c r="A75"/>
      <c r="B75"/>
      <c r="C75"/>
      <c r="D75"/>
      <c r="E75"/>
      <c r="F75"/>
      <c r="G75"/>
      <c r="H75"/>
      <c r="I75"/>
      <c r="J75"/>
      <c r="K75"/>
      <c r="M75"/>
      <c r="N75"/>
      <c r="O75"/>
      <c r="P75"/>
      <c r="Q75"/>
    </row>
    <row r="76" spans="1:24" x14ac:dyDescent="0.25">
      <c r="A76"/>
      <c r="B76"/>
      <c r="C76"/>
      <c r="D76"/>
      <c r="E76"/>
      <c r="F76"/>
      <c r="G76"/>
      <c r="H76"/>
      <c r="I76"/>
      <c r="J76"/>
      <c r="K76"/>
      <c r="M76"/>
      <c r="N76"/>
      <c r="O76"/>
      <c r="P76"/>
      <c r="Q76"/>
    </row>
    <row r="77" spans="1:24" x14ac:dyDescent="0.25">
      <c r="A77"/>
      <c r="B77"/>
      <c r="C77"/>
      <c r="D77"/>
      <c r="E77"/>
      <c r="F77"/>
      <c r="G77"/>
      <c r="H77"/>
      <c r="I77"/>
      <c r="J77"/>
      <c r="K77"/>
      <c r="M77"/>
      <c r="N77"/>
      <c r="O77"/>
      <c r="P77"/>
      <c r="Q77"/>
    </row>
    <row r="78" spans="1:24" x14ac:dyDescent="0.25">
      <c r="A78"/>
      <c r="B78"/>
      <c r="C78"/>
      <c r="D78"/>
      <c r="E78"/>
      <c r="F78"/>
      <c r="G78"/>
      <c r="H78"/>
      <c r="I78"/>
      <c r="J78"/>
      <c r="K78"/>
      <c r="M78"/>
      <c r="N78"/>
      <c r="O78"/>
      <c r="P78"/>
      <c r="Q78"/>
    </row>
    <row r="79" spans="1:24" x14ac:dyDescent="0.25">
      <c r="A79"/>
      <c r="B79"/>
      <c r="C79"/>
      <c r="D79"/>
      <c r="E79"/>
      <c r="F79"/>
      <c r="G79"/>
      <c r="H79"/>
      <c r="I79"/>
      <c r="J79"/>
      <c r="K79"/>
      <c r="M79"/>
      <c r="N79"/>
      <c r="O79"/>
      <c r="P79"/>
      <c r="Q79"/>
    </row>
    <row r="80" spans="1:24" x14ac:dyDescent="0.25">
      <c r="A80"/>
      <c r="B80"/>
      <c r="C80"/>
      <c r="D80"/>
      <c r="E80"/>
      <c r="F80"/>
      <c r="G80"/>
      <c r="H80"/>
      <c r="I80"/>
      <c r="J80"/>
      <c r="K80"/>
      <c r="M80"/>
      <c r="N80"/>
      <c r="O80"/>
      <c r="P80"/>
      <c r="Q80"/>
    </row>
    <row r="81" spans="1:17" x14ac:dyDescent="0.25">
      <c r="A81"/>
      <c r="B81"/>
      <c r="C81"/>
      <c r="D81"/>
      <c r="E81"/>
      <c r="F81"/>
      <c r="G81"/>
      <c r="H81"/>
      <c r="I81"/>
      <c r="J81"/>
      <c r="K81"/>
      <c r="M81"/>
      <c r="N81"/>
      <c r="O81"/>
      <c r="P81"/>
      <c r="Q81"/>
    </row>
    <row r="82" spans="1:17" x14ac:dyDescent="0.25">
      <c r="A82"/>
      <c r="B82"/>
      <c r="C82"/>
      <c r="D82"/>
      <c r="E82"/>
      <c r="F82"/>
      <c r="G82"/>
      <c r="H82"/>
      <c r="I82"/>
      <c r="J82"/>
      <c r="K82"/>
      <c r="M82"/>
      <c r="N82"/>
      <c r="O82"/>
      <c r="P82"/>
      <c r="Q82"/>
    </row>
    <row r="83" spans="1:17" x14ac:dyDescent="0.25">
      <c r="A83"/>
      <c r="B83"/>
      <c r="C83"/>
      <c r="D83"/>
      <c r="E83"/>
      <c r="F83"/>
      <c r="G83"/>
      <c r="H83"/>
      <c r="I83"/>
      <c r="J83"/>
      <c r="K83"/>
      <c r="M83"/>
      <c r="N83"/>
      <c r="O83"/>
      <c r="P83"/>
      <c r="Q83"/>
    </row>
    <row r="84" spans="1:17" x14ac:dyDescent="0.25">
      <c r="A84"/>
      <c r="B84"/>
      <c r="C84"/>
      <c r="D84"/>
      <c r="E84"/>
      <c r="F84"/>
      <c r="G84"/>
      <c r="H84"/>
      <c r="I84"/>
      <c r="J84"/>
      <c r="K84"/>
      <c r="M84"/>
      <c r="N84"/>
      <c r="O84"/>
      <c r="Q84"/>
    </row>
    <row r="85" spans="1:17" x14ac:dyDescent="0.25">
      <c r="B85" s="150"/>
    </row>
    <row r="86" spans="1:17" x14ac:dyDescent="0.25">
      <c r="B86" s="150"/>
    </row>
    <row r="87" spans="1:17" x14ac:dyDescent="0.25">
      <c r="B87" s="150"/>
    </row>
    <row r="88" spans="1:17" x14ac:dyDescent="0.25">
      <c r="B88" s="150"/>
    </row>
    <row r="89" spans="1:17" x14ac:dyDescent="0.25">
      <c r="B89" s="150"/>
    </row>
    <row r="90" spans="1:17" x14ac:dyDescent="0.25">
      <c r="B90" s="150"/>
    </row>
    <row r="91" spans="1:17" x14ac:dyDescent="0.25">
      <c r="B91" s="150"/>
    </row>
    <row r="92" spans="1:17" x14ac:dyDescent="0.25">
      <c r="B92" s="150"/>
    </row>
    <row r="93" spans="1:17" x14ac:dyDescent="0.25">
      <c r="B93" s="150"/>
    </row>
    <row r="94" spans="1:17" x14ac:dyDescent="0.25">
      <c r="B94" s="150"/>
    </row>
    <row r="95" spans="1:17" x14ac:dyDescent="0.25">
      <c r="B95" s="150"/>
    </row>
    <row r="96" spans="1:17" x14ac:dyDescent="0.25">
      <c r="B96" s="150"/>
    </row>
    <row r="97" spans="2:2" x14ac:dyDescent="0.25">
      <c r="B97" s="150"/>
    </row>
    <row r="98" spans="2:2" x14ac:dyDescent="0.25">
      <c r="B98" s="150"/>
    </row>
  </sheetData>
  <mergeCells count="7">
    <mergeCell ref="N25:O25"/>
    <mergeCell ref="N47:O47"/>
    <mergeCell ref="P12:Q12"/>
    <mergeCell ref="P1:Q1"/>
    <mergeCell ref="M2:M5"/>
    <mergeCell ref="P7:Q7"/>
    <mergeCell ref="N22:O22"/>
  </mergeCells>
  <conditionalFormatting sqref="N48:O49 N26:O26 N28:O30 N37:O37">
    <cfRule type="cellIs" dxfId="22" priority="70" operator="equal">
      <formula>0</formula>
    </cfRule>
  </conditionalFormatting>
  <conditionalFormatting sqref="N27:O27">
    <cfRule type="cellIs" dxfId="21" priority="69" operator="equal">
      <formula>0</formula>
    </cfRule>
  </conditionalFormatting>
  <conditionalFormatting sqref="N31:O32">
    <cfRule type="cellIs" dxfId="20" priority="68" operator="equal">
      <formula>0</formula>
    </cfRule>
  </conditionalFormatting>
  <conditionalFormatting sqref="N33:O34">
    <cfRule type="cellIs" dxfId="19" priority="67" operator="equal">
      <formula>0</formula>
    </cfRule>
  </conditionalFormatting>
  <conditionalFormatting sqref="N35:O36">
    <cfRule type="cellIs" dxfId="18" priority="66" operator="equal">
      <formula>0</formula>
    </cfRule>
  </conditionalFormatting>
  <conditionalFormatting sqref="N50:O50">
    <cfRule type="cellIs" dxfId="17" priority="61" operator="equal">
      <formula>0</formula>
    </cfRule>
  </conditionalFormatting>
  <conditionalFormatting sqref="N51:O51">
    <cfRule type="cellIs" dxfId="16" priority="62" operator="equal">
      <formula>0</formula>
    </cfRule>
  </conditionalFormatting>
  <conditionalFormatting sqref="N23:O23">
    <cfRule type="cellIs" dxfId="15" priority="49" operator="equal">
      <formula>0</formula>
    </cfRule>
  </conditionalFormatting>
  <conditionalFormatting sqref="N39:O39 N41:O41 N43:O43">
    <cfRule type="cellIs" dxfId="14" priority="8" operator="equal">
      <formula>0</formula>
    </cfRule>
  </conditionalFormatting>
  <conditionalFormatting sqref="N40:O40 N42:O42">
    <cfRule type="cellIs" dxfId="13" priority="7" operator="equal">
      <formula>0</formula>
    </cfRule>
  </conditionalFormatting>
  <conditionalFormatting sqref="N38:O38">
    <cfRule type="cellIs" dxfId="12" priority="6" operator="equal">
      <formula>0</formula>
    </cfRule>
  </conditionalFormatting>
  <conditionalFormatting sqref="N44:O44">
    <cfRule type="cellIs" dxfId="11" priority="2" operator="equal">
      <formula>0</formula>
    </cfRule>
  </conditionalFormatting>
  <conditionalFormatting sqref="N45:O45">
    <cfRule type="cellIs" dxfId="10" priority="3" operator="equal">
      <formula>0</formula>
    </cfRule>
  </conditionalFormatting>
  <conditionalFormatting sqref="N46:O46">
    <cfRule type="cellIs" dxfId="9" priority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63"/>
  <sheetViews>
    <sheetView showGridLines="0" tabSelected="1" zoomScale="70" zoomScaleNormal="70" workbookViewId="0">
      <selection activeCell="L35" sqref="L35"/>
    </sheetView>
  </sheetViews>
  <sheetFormatPr defaultRowHeight="15" x14ac:dyDescent="0.25"/>
  <cols>
    <col min="1" max="1" width="10.28515625" style="394" customWidth="1"/>
    <col min="2" max="2" width="41.140625" style="454" bestFit="1" customWidth="1"/>
    <col min="3" max="3" width="11.5703125" style="396" bestFit="1" customWidth="1"/>
    <col min="4" max="4" width="5.42578125" style="396" customWidth="1"/>
    <col min="5" max="5" width="12.140625" style="396" bestFit="1" customWidth="1"/>
    <col min="6" max="6" width="11" style="396" bestFit="1" customWidth="1"/>
    <col min="7" max="7" width="12.85546875" style="396" bestFit="1" customWidth="1"/>
    <col min="8" max="8" width="11.5703125" style="396" bestFit="1" customWidth="1"/>
    <col min="9" max="9" width="7.42578125" style="396" bestFit="1" customWidth="1"/>
    <col min="10" max="10" width="2.7109375" style="396" customWidth="1"/>
    <col min="11" max="11" width="12.42578125" style="396" bestFit="1" customWidth="1"/>
    <col min="12" max="12" width="19.28515625" style="396" bestFit="1" customWidth="1"/>
    <col min="13" max="13" width="8.140625" style="396" bestFit="1" customWidth="1"/>
    <col min="14" max="14" width="6.42578125" style="396" bestFit="1" customWidth="1"/>
    <col min="15" max="15" width="42.5703125" style="396" bestFit="1" customWidth="1"/>
    <col min="16" max="16" width="4.5703125" style="396" bestFit="1" customWidth="1"/>
    <col min="17" max="17" width="27.28515625" style="396" bestFit="1" customWidth="1"/>
    <col min="18" max="18" width="6.85546875" style="396" bestFit="1" customWidth="1"/>
    <col min="19" max="19" width="8.85546875" style="396" bestFit="1" customWidth="1"/>
    <col min="20" max="20" width="7.7109375" style="396" bestFit="1" customWidth="1"/>
    <col min="21" max="21" width="8.5703125" style="396" bestFit="1" customWidth="1"/>
    <col min="22" max="22" width="7.42578125" style="396" bestFit="1" customWidth="1"/>
    <col min="23" max="23" width="12.42578125" style="396" bestFit="1" customWidth="1"/>
    <col min="24" max="24" width="6.140625" style="396" bestFit="1" customWidth="1"/>
    <col min="25" max="25" width="4.42578125" style="396" bestFit="1" customWidth="1"/>
    <col min="26" max="26" width="5.42578125" style="396" customWidth="1"/>
    <col min="27" max="27" width="38.7109375" style="396" bestFit="1" customWidth="1"/>
    <col min="28" max="28" width="32.42578125" style="396" bestFit="1" customWidth="1"/>
    <col min="29" max="29" width="6.28515625" style="396" bestFit="1" customWidth="1"/>
    <col min="30" max="30" width="6.42578125" style="397" bestFit="1" customWidth="1"/>
    <col min="31" max="31" width="9.5703125" style="397" bestFit="1" customWidth="1"/>
    <col min="32" max="32" width="6.85546875" style="397" bestFit="1" customWidth="1"/>
    <col min="33" max="33" width="9.5703125" style="397" bestFit="1" customWidth="1"/>
    <col min="34" max="34" width="7.7109375" style="397" bestFit="1" customWidth="1"/>
    <col min="35" max="35" width="9.140625" style="397" bestFit="1" customWidth="1"/>
    <col min="36" max="36" width="6.42578125" style="397" bestFit="1" customWidth="1"/>
    <col min="37" max="37" width="14.42578125" style="396" bestFit="1" customWidth="1"/>
    <col min="38" max="38" width="4.5703125" style="396" customWidth="1"/>
    <col min="39" max="39" width="12.42578125" style="396" bestFit="1" customWidth="1"/>
    <col min="40" max="40" width="5.28515625" style="396" bestFit="1" customWidth="1"/>
    <col min="41" max="41" width="4.42578125" style="396" bestFit="1" customWidth="1"/>
    <col min="42" max="42" width="6.7109375" style="396" bestFit="1" customWidth="1"/>
    <col min="43" max="43" width="39.85546875" style="396" customWidth="1"/>
    <col min="44" max="16384" width="9.140625" style="396"/>
  </cols>
  <sheetData>
    <row r="1" spans="1:42" ht="15.75" thickBot="1" x14ac:dyDescent="0.3">
      <c r="B1" s="395"/>
    </row>
    <row r="2" spans="1:42" ht="15.75" thickBot="1" x14ac:dyDescent="0.3">
      <c r="A2" s="398" t="s">
        <v>100</v>
      </c>
      <c r="B2" s="399"/>
      <c r="C2" s="400"/>
      <c r="D2" s="401"/>
      <c r="E2" s="402" t="s">
        <v>281</v>
      </c>
      <c r="F2" s="403" t="s">
        <v>282</v>
      </c>
      <c r="G2" s="403" t="s">
        <v>283</v>
      </c>
      <c r="H2" s="403" t="s">
        <v>284</v>
      </c>
      <c r="I2" s="404" t="s">
        <v>101</v>
      </c>
      <c r="K2" s="405" t="s">
        <v>102</v>
      </c>
      <c r="L2" s="406"/>
      <c r="M2" s="407"/>
      <c r="Q2" s="398" t="s">
        <v>240</v>
      </c>
      <c r="R2" s="400"/>
      <c r="S2" s="400"/>
      <c r="T2" s="400"/>
      <c r="U2" s="400"/>
      <c r="V2" s="408" t="s">
        <v>101</v>
      </c>
      <c r="W2" s="409" t="s">
        <v>38</v>
      </c>
      <c r="X2" s="621" t="s">
        <v>110</v>
      </c>
      <c r="Y2" s="622"/>
      <c r="AA2" s="410" t="s">
        <v>241</v>
      </c>
      <c r="AB2" s="411"/>
      <c r="AC2" s="411"/>
      <c r="AD2" s="412"/>
      <c r="AE2" s="412"/>
      <c r="AF2" s="412"/>
      <c r="AG2" s="412"/>
      <c r="AH2" s="412"/>
      <c r="AI2" s="412"/>
      <c r="AJ2" s="412"/>
      <c r="AK2" s="408" t="s">
        <v>101</v>
      </c>
      <c r="AM2" s="409" t="s">
        <v>38</v>
      </c>
      <c r="AN2" s="621" t="s">
        <v>110</v>
      </c>
      <c r="AO2" s="622"/>
      <c r="AP2"/>
    </row>
    <row r="3" spans="1:42" ht="15.75" thickBot="1" x14ac:dyDescent="0.3">
      <c r="A3" s="413"/>
      <c r="B3" s="414" t="s">
        <v>242</v>
      </c>
      <c r="C3" s="415">
        <v>25</v>
      </c>
      <c r="D3" s="416" t="s">
        <v>33</v>
      </c>
      <c r="E3" s="417">
        <f>SUM(E5,E7)</f>
        <v>2.7631000000000006</v>
      </c>
      <c r="F3" s="417">
        <f>SUM(F5,F7)</f>
        <v>2.3980000000000001</v>
      </c>
      <c r="G3" s="417">
        <f>SUM(G5,G7)</f>
        <v>3.9503000000000008</v>
      </c>
      <c r="H3" s="417">
        <f>SUM(H5,H7)</f>
        <v>4.5330000000000004</v>
      </c>
      <c r="I3" s="418">
        <f>SUM(E3:H3)*(1+K3)</f>
        <v>15.69106</v>
      </c>
      <c r="K3" s="419">
        <v>0.15</v>
      </c>
      <c r="L3" s="420" t="s">
        <v>243</v>
      </c>
      <c r="M3" s="421"/>
      <c r="Q3" s="422" t="s">
        <v>287</v>
      </c>
      <c r="R3" s="423"/>
      <c r="S3" s="424"/>
      <c r="T3" s="424"/>
      <c r="U3" s="424"/>
      <c r="V3" s="425">
        <f>SUM(Q4:U16)/1000</f>
        <v>13.644399999999999</v>
      </c>
      <c r="W3" s="426">
        <f>12.97+2.04</f>
        <v>15.010000000000002</v>
      </c>
      <c r="X3" s="427">
        <f>W3-V3</f>
        <v>1.3656000000000024</v>
      </c>
      <c r="Y3" s="428">
        <f>X3/W3</f>
        <v>9.0979347101932187E-2</v>
      </c>
      <c r="AA3" s="429" t="s">
        <v>293</v>
      </c>
      <c r="AB3" s="430" t="s">
        <v>244</v>
      </c>
      <c r="AC3" s="431" t="s">
        <v>33</v>
      </c>
      <c r="AD3" s="432"/>
      <c r="AE3" s="433"/>
      <c r="AF3" s="433"/>
      <c r="AG3" s="433"/>
      <c r="AH3" s="433"/>
      <c r="AI3" s="433"/>
      <c r="AJ3" s="434"/>
      <c r="AK3" s="520">
        <f>SUM(AD4:AJ40)/1000</f>
        <v>41.637600000000049</v>
      </c>
      <c r="AM3" s="435">
        <f>3.6+14.5+14.5+10.9</f>
        <v>43.5</v>
      </c>
      <c r="AN3" s="436">
        <f>AM3-AK3</f>
        <v>1.8623999999999512</v>
      </c>
      <c r="AO3" s="437">
        <f>AN3/AM3</f>
        <v>4.2813793103447156E-2</v>
      </c>
      <c r="AP3"/>
    </row>
    <row r="4" spans="1:42" ht="15.75" thickBot="1" x14ac:dyDescent="0.3">
      <c r="A4" s="398" t="s">
        <v>108</v>
      </c>
      <c r="B4" s="399"/>
      <c r="C4" s="400"/>
      <c r="D4" s="401"/>
      <c r="E4" s="402" t="s">
        <v>281</v>
      </c>
      <c r="F4" s="403" t="s">
        <v>282</v>
      </c>
      <c r="G4" s="403" t="s">
        <v>283</v>
      </c>
      <c r="H4" s="403" t="s">
        <v>284</v>
      </c>
      <c r="I4" s="404" t="s">
        <v>101</v>
      </c>
      <c r="K4" s="405" t="s">
        <v>102</v>
      </c>
      <c r="L4" s="406"/>
      <c r="M4" s="407"/>
      <c r="Q4" s="438">
        <v>85.8</v>
      </c>
      <c r="R4" s="439">
        <v>46</v>
      </c>
      <c r="S4" s="439">
        <v>362.1</v>
      </c>
      <c r="T4" s="439">
        <v>63.9</v>
      </c>
      <c r="U4" s="439">
        <v>136.5</v>
      </c>
      <c r="V4" s="440"/>
      <c r="W4" s="441" t="s">
        <v>274</v>
      </c>
      <c r="X4" s="439">
        <f>SUM(Q4:U5,Q7:U8,Q10:U11,Q12:S12,Q15:U16)/1000</f>
        <v>11.682600000000001</v>
      </c>
      <c r="Y4" s="442"/>
      <c r="AA4" s="443"/>
      <c r="AB4" s="512" t="s">
        <v>192</v>
      </c>
      <c r="AC4" s="445" t="s">
        <v>265</v>
      </c>
      <c r="AD4" s="456">
        <v>13</v>
      </c>
      <c r="AE4" s="455">
        <v>85.8</v>
      </c>
      <c r="AF4" s="455">
        <v>46</v>
      </c>
      <c r="AG4" s="455">
        <v>362.1</v>
      </c>
      <c r="AH4" s="455">
        <v>63.9</v>
      </c>
      <c r="AI4" s="455">
        <v>136.5</v>
      </c>
      <c r="AJ4" s="518">
        <f>$AD$4</f>
        <v>13</v>
      </c>
      <c r="AK4" s="521" t="s">
        <v>266</v>
      </c>
      <c r="AM4" s="448"/>
      <c r="AN4" s="449"/>
      <c r="AO4" s="442"/>
      <c r="AP4"/>
    </row>
    <row r="5" spans="1:42" ht="15.75" thickBot="1" x14ac:dyDescent="0.3">
      <c r="A5" s="413" t="s">
        <v>247</v>
      </c>
      <c r="B5" s="414" t="s">
        <v>248</v>
      </c>
      <c r="C5" s="415" t="s">
        <v>107</v>
      </c>
      <c r="D5" s="416" t="s">
        <v>33</v>
      </c>
      <c r="E5" s="450"/>
      <c r="F5" s="450"/>
      <c r="G5" s="450"/>
      <c r="H5" s="450">
        <f>H10</f>
        <v>1.8519000000000001</v>
      </c>
      <c r="I5" s="418">
        <f>SUM(E5:H5)*(1+K5)</f>
        <v>2.1296849999999998</v>
      </c>
      <c r="K5" s="419">
        <v>0.15</v>
      </c>
      <c r="L5" s="420" t="s">
        <v>243</v>
      </c>
      <c r="M5" s="421"/>
      <c r="Q5" s="438">
        <v>101.5</v>
      </c>
      <c r="R5" s="439">
        <v>15.9</v>
      </c>
      <c r="S5" s="439">
        <v>1748.4</v>
      </c>
      <c r="T5" s="439">
        <v>39.1</v>
      </c>
      <c r="U5" s="439">
        <v>163.9</v>
      </c>
      <c r="V5" s="440"/>
      <c r="W5" s="511" t="s">
        <v>276</v>
      </c>
      <c r="X5" s="439">
        <f>SUM(T12,U13)/1000</f>
        <v>1.9618000000000002</v>
      </c>
      <c r="Y5" s="442"/>
      <c r="AA5" s="514" t="s">
        <v>295</v>
      </c>
      <c r="AB5" s="513"/>
      <c r="AC5" s="445" t="s">
        <v>31</v>
      </c>
      <c r="AD5" s="456">
        <f t="shared" ref="AD5:AD6" si="0">$AD$4</f>
        <v>13</v>
      </c>
      <c r="AE5" s="455">
        <v>85.8</v>
      </c>
      <c r="AF5" s="455">
        <v>46</v>
      </c>
      <c r="AG5" s="455">
        <v>362.1</v>
      </c>
      <c r="AH5" s="455">
        <v>63.9</v>
      </c>
      <c r="AI5" s="455">
        <v>136.5</v>
      </c>
      <c r="AJ5" s="518">
        <f t="shared" ref="AJ5:AJ10" si="1">$AD$4</f>
        <v>13</v>
      </c>
      <c r="AK5" s="521" t="s">
        <v>266</v>
      </c>
      <c r="AM5" s="441"/>
      <c r="AN5" s="439"/>
      <c r="AO5" s="442"/>
      <c r="AP5"/>
    </row>
    <row r="6" spans="1:42" ht="15.75" thickBot="1" x14ac:dyDescent="0.3">
      <c r="A6" s="398" t="s">
        <v>249</v>
      </c>
      <c r="B6" s="399"/>
      <c r="C6" s="400"/>
      <c r="D6" s="401"/>
      <c r="E6" s="402" t="s">
        <v>281</v>
      </c>
      <c r="F6" s="403" t="s">
        <v>282</v>
      </c>
      <c r="G6" s="403" t="s">
        <v>283</v>
      </c>
      <c r="H6" s="403" t="s">
        <v>284</v>
      </c>
      <c r="I6" s="404" t="s">
        <v>101</v>
      </c>
      <c r="K6" s="405" t="s">
        <v>102</v>
      </c>
      <c r="L6" s="406"/>
      <c r="M6" s="407"/>
      <c r="Q6" s="422" t="s">
        <v>288</v>
      </c>
      <c r="R6" s="423"/>
      <c r="S6" s="424"/>
      <c r="T6" s="424"/>
      <c r="U6" s="424"/>
      <c r="V6" s="440"/>
      <c r="W6" s="441"/>
      <c r="X6" s="439"/>
      <c r="Y6" s="442"/>
      <c r="AA6" s="514" t="s">
        <v>292</v>
      </c>
      <c r="AB6" s="513"/>
      <c r="AC6" s="445" t="s">
        <v>250</v>
      </c>
      <c r="AD6" s="456">
        <f t="shared" si="0"/>
        <v>13</v>
      </c>
      <c r="AE6" s="455">
        <v>85.8</v>
      </c>
      <c r="AF6" s="455">
        <v>46</v>
      </c>
      <c r="AG6" s="455">
        <v>362.1</v>
      </c>
      <c r="AH6" s="455">
        <v>63.9</v>
      </c>
      <c r="AI6" s="455">
        <v>136.5</v>
      </c>
      <c r="AJ6" s="518">
        <f t="shared" si="1"/>
        <v>13</v>
      </c>
      <c r="AK6" s="521" t="s">
        <v>266</v>
      </c>
      <c r="AM6" s="441"/>
      <c r="AN6" s="439"/>
      <c r="AO6" s="442"/>
      <c r="AP6"/>
    </row>
    <row r="7" spans="1:42" ht="15.75" thickBot="1" x14ac:dyDescent="0.3">
      <c r="A7" s="413" t="s">
        <v>251</v>
      </c>
      <c r="B7" s="414" t="s">
        <v>248</v>
      </c>
      <c r="C7" s="415" t="s">
        <v>107</v>
      </c>
      <c r="D7" s="416" t="s">
        <v>33</v>
      </c>
      <c r="E7" s="417">
        <f>E11</f>
        <v>2.7631000000000006</v>
      </c>
      <c r="F7" s="417">
        <f>F11</f>
        <v>2.3980000000000001</v>
      </c>
      <c r="G7" s="417">
        <f>G11</f>
        <v>3.9503000000000008</v>
      </c>
      <c r="H7" s="417">
        <f>H11</f>
        <v>2.6811000000000003</v>
      </c>
      <c r="I7" s="418">
        <f>SUM(E7:H7)*(1+K7)</f>
        <v>13.561375000000002</v>
      </c>
      <c r="K7" s="419">
        <v>0.15</v>
      </c>
      <c r="L7" s="420" t="s">
        <v>243</v>
      </c>
      <c r="M7" s="421"/>
      <c r="Q7" s="438">
        <v>418</v>
      </c>
      <c r="R7" s="439"/>
      <c r="S7" s="439"/>
      <c r="T7" s="439"/>
      <c r="U7" s="439"/>
      <c r="V7" s="440"/>
      <c r="W7" s="441"/>
      <c r="X7" s="439"/>
      <c r="Y7" s="442"/>
      <c r="AA7" s="443"/>
      <c r="AB7" s="444"/>
      <c r="AC7" s="452"/>
      <c r="AD7" s="453"/>
      <c r="AE7" s="446"/>
      <c r="AF7" s="446"/>
      <c r="AG7" s="446"/>
      <c r="AH7" s="446"/>
      <c r="AI7" s="446"/>
      <c r="AJ7" s="447"/>
      <c r="AK7" s="521"/>
      <c r="AM7" s="441"/>
      <c r="AN7" s="439"/>
      <c r="AO7" s="442"/>
      <c r="AP7"/>
    </row>
    <row r="8" spans="1:42" ht="15.75" thickBot="1" x14ac:dyDescent="0.3">
      <c r="Q8" s="438">
        <v>1980</v>
      </c>
      <c r="R8" s="439"/>
      <c r="S8" s="439"/>
      <c r="T8" s="439"/>
      <c r="U8" s="439"/>
      <c r="V8" s="440"/>
      <c r="W8" s="441"/>
      <c r="X8" s="439"/>
      <c r="Y8" s="442"/>
      <c r="AA8" s="443"/>
      <c r="AB8" s="444"/>
      <c r="AC8" s="445" t="s">
        <v>265</v>
      </c>
      <c r="AD8" s="456">
        <f t="shared" ref="AD8:AD10" si="2">$AD$4</f>
        <v>13</v>
      </c>
      <c r="AE8" s="455">
        <v>101.5</v>
      </c>
      <c r="AF8" s="455">
        <v>15.9</v>
      </c>
      <c r="AG8" s="455">
        <v>1748.4</v>
      </c>
      <c r="AH8" s="455">
        <v>39.1</v>
      </c>
      <c r="AI8" s="455">
        <v>163.9</v>
      </c>
      <c r="AJ8" s="518">
        <f t="shared" si="1"/>
        <v>13</v>
      </c>
      <c r="AK8" s="521" t="s">
        <v>266</v>
      </c>
      <c r="AM8" s="457"/>
      <c r="AN8" s="439"/>
      <c r="AO8" s="442"/>
      <c r="AP8"/>
    </row>
    <row r="9" spans="1:42" ht="15.75" thickBot="1" x14ac:dyDescent="0.3">
      <c r="A9" s="398" t="s">
        <v>242</v>
      </c>
      <c r="B9" s="399"/>
      <c r="C9" s="400"/>
      <c r="D9" s="401"/>
      <c r="E9" s="402" t="s">
        <v>281</v>
      </c>
      <c r="F9" s="403" t="s">
        <v>282</v>
      </c>
      <c r="G9" s="403" t="s">
        <v>283</v>
      </c>
      <c r="H9" s="403" t="s">
        <v>284</v>
      </c>
      <c r="I9" s="404" t="s">
        <v>101</v>
      </c>
      <c r="K9" s="409" t="s">
        <v>38</v>
      </c>
      <c r="L9" s="621" t="s">
        <v>110</v>
      </c>
      <c r="M9" s="622"/>
      <c r="O9" s="458" t="s">
        <v>102</v>
      </c>
      <c r="Q9" s="422" t="s">
        <v>289</v>
      </c>
      <c r="R9" s="466"/>
      <c r="S9" s="424"/>
      <c r="T9" s="424"/>
      <c r="U9" s="424"/>
      <c r="V9" s="440"/>
      <c r="W9" s="441"/>
      <c r="X9" s="439"/>
      <c r="Y9" s="442"/>
      <c r="AA9" s="443"/>
      <c r="AB9" s="444"/>
      <c r="AC9" s="445" t="s">
        <v>31</v>
      </c>
      <c r="AD9" s="456">
        <f t="shared" si="2"/>
        <v>13</v>
      </c>
      <c r="AE9" s="455">
        <v>101.5</v>
      </c>
      <c r="AF9" s="455">
        <v>15.9</v>
      </c>
      <c r="AG9" s="455">
        <v>1748.4</v>
      </c>
      <c r="AH9" s="455">
        <v>39.1</v>
      </c>
      <c r="AI9" s="455">
        <v>163.9</v>
      </c>
      <c r="AJ9" s="518">
        <f t="shared" si="1"/>
        <v>13</v>
      </c>
      <c r="AK9" s="521" t="s">
        <v>266</v>
      </c>
      <c r="AM9" s="457"/>
      <c r="AN9" s="439"/>
      <c r="AO9" s="442"/>
      <c r="AP9"/>
    </row>
    <row r="10" spans="1:42" x14ac:dyDescent="0.25">
      <c r="A10" s="459" t="s">
        <v>247</v>
      </c>
      <c r="B10" s="479" t="s">
        <v>252</v>
      </c>
      <c r="C10" s="460" t="s">
        <v>107</v>
      </c>
      <c r="D10" s="461" t="s">
        <v>33</v>
      </c>
      <c r="E10" s="439"/>
      <c r="F10" s="439"/>
      <c r="G10" s="439"/>
      <c r="H10" s="439">
        <f>SUM(U13)/1000</f>
        <v>1.8519000000000001</v>
      </c>
      <c r="I10" s="462">
        <f>SUM(E10:H10)*1.1</f>
        <v>2.0370900000000001</v>
      </c>
      <c r="K10" s="463">
        <v>2.04</v>
      </c>
      <c r="L10" s="439">
        <f>K10-I10</f>
        <v>2.9099999999999682E-3</v>
      </c>
      <c r="M10" s="464">
        <f>L10/K10</f>
        <v>1.4264705882352784E-3</v>
      </c>
      <c r="O10" s="465" t="s">
        <v>297</v>
      </c>
      <c r="Q10" s="438">
        <v>1126.4000000000001</v>
      </c>
      <c r="R10" s="439"/>
      <c r="S10" s="439"/>
      <c r="T10" s="439"/>
      <c r="U10" s="439"/>
      <c r="V10" s="440"/>
      <c r="W10" s="441"/>
      <c r="X10" s="439"/>
      <c r="Y10" s="442"/>
      <c r="AA10" s="467"/>
      <c r="AB10" s="444"/>
      <c r="AC10" s="445" t="s">
        <v>250</v>
      </c>
      <c r="AD10" s="456">
        <f t="shared" si="2"/>
        <v>13</v>
      </c>
      <c r="AE10" s="455">
        <v>101.5</v>
      </c>
      <c r="AF10" s="455">
        <v>15.9</v>
      </c>
      <c r="AG10" s="455">
        <v>1748.4</v>
      </c>
      <c r="AH10" s="455">
        <v>39.1</v>
      </c>
      <c r="AI10" s="455">
        <v>163.9</v>
      </c>
      <c r="AJ10" s="518">
        <f t="shared" si="1"/>
        <v>13</v>
      </c>
      <c r="AK10" s="521" t="s">
        <v>266</v>
      </c>
      <c r="AM10" s="457"/>
      <c r="AN10" s="439"/>
      <c r="AO10" s="442"/>
      <c r="AP10"/>
    </row>
    <row r="11" spans="1:42" ht="15.75" thickBot="1" x14ac:dyDescent="0.3">
      <c r="A11" s="468" t="s">
        <v>251</v>
      </c>
      <c r="B11" s="475" t="s">
        <v>252</v>
      </c>
      <c r="C11" s="469" t="s">
        <v>107</v>
      </c>
      <c r="D11" s="470" t="s">
        <v>33</v>
      </c>
      <c r="E11" s="471">
        <f>SUM(Q4:U5)/1000</f>
        <v>2.7631000000000006</v>
      </c>
      <c r="F11" s="471">
        <f>SUM(Q7:U8)/1000</f>
        <v>2.3980000000000001</v>
      </c>
      <c r="G11" s="471">
        <f>SUM(Q10:U12)/1000</f>
        <v>3.9503000000000008</v>
      </c>
      <c r="H11" s="471">
        <f>SUM(Q15:U16)/1000</f>
        <v>2.6811000000000003</v>
      </c>
      <c r="I11" s="472">
        <f>SUM(E11:H11)*1.1</f>
        <v>12.971750000000004</v>
      </c>
      <c r="K11" s="473">
        <v>12.97</v>
      </c>
      <c r="L11" s="471">
        <f>K11-I11</f>
        <v>-1.7500000000030269E-3</v>
      </c>
      <c r="M11" s="474">
        <f>L11/K11</f>
        <v>-1.3492675404803598E-4</v>
      </c>
      <c r="O11" s="465" t="s">
        <v>297</v>
      </c>
      <c r="Q11" s="438">
        <v>1268.9000000000001</v>
      </c>
      <c r="R11" s="439"/>
      <c r="S11" s="439"/>
      <c r="T11" s="439"/>
      <c r="U11" s="439"/>
      <c r="V11" s="440"/>
      <c r="W11" s="441"/>
      <c r="X11" s="439"/>
      <c r="Y11" s="442"/>
      <c r="AA11" s="443"/>
      <c r="AB11" s="444"/>
      <c r="AC11" s="452"/>
      <c r="AD11" s="453"/>
      <c r="AE11" s="446"/>
      <c r="AF11" s="446"/>
      <c r="AG11" s="446"/>
      <c r="AH11" s="446"/>
      <c r="AI11" s="446"/>
      <c r="AJ11" s="447"/>
      <c r="AK11" s="521"/>
      <c r="AM11" s="457"/>
      <c r="AN11" s="439"/>
      <c r="AO11" s="442"/>
      <c r="AP11"/>
    </row>
    <row r="12" spans="1:42" ht="15.75" thickBot="1" x14ac:dyDescent="0.3">
      <c r="A12" s="398" t="s">
        <v>254</v>
      </c>
      <c r="B12" s="399"/>
      <c r="C12" s="400"/>
      <c r="D12" s="401"/>
      <c r="E12" s="402" t="s">
        <v>281</v>
      </c>
      <c r="F12" s="403" t="s">
        <v>282</v>
      </c>
      <c r="G12" s="403" t="s">
        <v>283</v>
      </c>
      <c r="H12" s="403" t="s">
        <v>284</v>
      </c>
      <c r="I12" s="404" t="s">
        <v>101</v>
      </c>
      <c r="K12" s="409" t="s">
        <v>38</v>
      </c>
      <c r="L12" s="621" t="s">
        <v>110</v>
      </c>
      <c r="M12" s="622"/>
      <c r="O12" s="458" t="s">
        <v>102</v>
      </c>
      <c r="Q12" s="438">
        <v>96.4</v>
      </c>
      <c r="R12" s="439">
        <v>64.900000000000006</v>
      </c>
      <c r="S12" s="439">
        <v>1283.8</v>
      </c>
      <c r="T12" s="439">
        <v>109.9</v>
      </c>
      <c r="U12" s="439"/>
      <c r="V12" s="440"/>
      <c r="W12" s="441"/>
      <c r="X12" s="439"/>
      <c r="Y12" s="442"/>
      <c r="AA12" s="443"/>
      <c r="AB12" s="512" t="s">
        <v>193</v>
      </c>
      <c r="AC12" s="445" t="s">
        <v>253</v>
      </c>
      <c r="AD12" s="456">
        <f t="shared" ref="AD12:AD14" si="3">$AD$4</f>
        <v>13</v>
      </c>
      <c r="AE12" s="455">
        <v>418.8</v>
      </c>
      <c r="AF12" s="456">
        <f t="shared" ref="AF12:AF14" si="4">$AD$4</f>
        <v>13</v>
      </c>
      <c r="AG12" s="446"/>
      <c r="AH12" s="446"/>
      <c r="AI12" s="446"/>
      <c r="AJ12" s="447"/>
      <c r="AK12" s="521" t="s">
        <v>266</v>
      </c>
      <c r="AM12" s="457"/>
      <c r="AN12" s="439"/>
      <c r="AO12" s="442"/>
      <c r="AP12"/>
    </row>
    <row r="13" spans="1:42" x14ac:dyDescent="0.25">
      <c r="A13" s="468" t="s">
        <v>255</v>
      </c>
      <c r="B13" s="475" t="s">
        <v>256</v>
      </c>
      <c r="C13" s="469" t="s">
        <v>257</v>
      </c>
      <c r="D13" s="470" t="s">
        <v>1</v>
      </c>
      <c r="E13" s="476">
        <v>0</v>
      </c>
      <c r="F13" s="476">
        <v>0</v>
      </c>
      <c r="G13" s="476">
        <v>0</v>
      </c>
      <c r="H13" s="476">
        <v>1</v>
      </c>
      <c r="I13" s="477">
        <f t="shared" ref="I13:I16" si="5">SUM(E13:H13)</f>
        <v>1</v>
      </c>
      <c r="K13" s="478">
        <v>1</v>
      </c>
      <c r="L13" s="476">
        <f t="shared" ref="L13:L16" si="6">K13-I13</f>
        <v>0</v>
      </c>
      <c r="M13" s="474">
        <f t="shared" ref="M13:M16" si="7">L13/K13</f>
        <v>0</v>
      </c>
      <c r="O13" s="465" t="s">
        <v>286</v>
      </c>
      <c r="Q13" s="438"/>
      <c r="R13" s="439"/>
      <c r="S13" s="439"/>
      <c r="T13" s="439"/>
      <c r="U13" s="451">
        <v>1851.9</v>
      </c>
      <c r="V13" s="440"/>
      <c r="W13" s="441"/>
      <c r="X13" s="439"/>
      <c r="Y13" s="442"/>
      <c r="AA13" s="443"/>
      <c r="AB13" s="513"/>
      <c r="AC13" s="445" t="s">
        <v>31</v>
      </c>
      <c r="AD13" s="456">
        <f t="shared" si="3"/>
        <v>13</v>
      </c>
      <c r="AE13" s="455">
        <v>418.8</v>
      </c>
      <c r="AF13" s="456">
        <f t="shared" si="4"/>
        <v>13</v>
      </c>
      <c r="AG13" s="446"/>
      <c r="AH13" s="446"/>
      <c r="AI13" s="446"/>
      <c r="AJ13" s="447"/>
      <c r="AK13" s="521" t="s">
        <v>266</v>
      </c>
      <c r="AM13" s="457"/>
      <c r="AN13" s="439"/>
      <c r="AO13" s="442"/>
      <c r="AP13"/>
    </row>
    <row r="14" spans="1:42" x14ac:dyDescent="0.25">
      <c r="A14" s="459" t="s">
        <v>138</v>
      </c>
      <c r="B14" s="479" t="s">
        <v>258</v>
      </c>
      <c r="C14" s="460" t="s">
        <v>259</v>
      </c>
      <c r="D14" s="461" t="s">
        <v>1</v>
      </c>
      <c r="E14" s="449">
        <v>1</v>
      </c>
      <c r="F14" s="449">
        <v>1</v>
      </c>
      <c r="G14" s="449">
        <v>1</v>
      </c>
      <c r="H14" s="449">
        <v>1</v>
      </c>
      <c r="I14" s="480">
        <f t="shared" si="5"/>
        <v>4</v>
      </c>
      <c r="K14" s="481">
        <v>4</v>
      </c>
      <c r="L14" s="476">
        <f t="shared" si="6"/>
        <v>0</v>
      </c>
      <c r="M14" s="474">
        <f t="shared" si="7"/>
        <v>0</v>
      </c>
      <c r="O14" s="465" t="s">
        <v>285</v>
      </c>
      <c r="Q14" s="422" t="s">
        <v>290</v>
      </c>
      <c r="R14" s="466"/>
      <c r="S14" s="424"/>
      <c r="T14" s="424"/>
      <c r="U14" s="424"/>
      <c r="V14" s="440"/>
      <c r="W14" s="441"/>
      <c r="X14" s="439"/>
      <c r="Y14" s="442"/>
      <c r="AA14" s="443"/>
      <c r="AB14" s="513"/>
      <c r="AC14" s="445" t="s">
        <v>250</v>
      </c>
      <c r="AD14" s="456">
        <f t="shared" si="3"/>
        <v>13</v>
      </c>
      <c r="AE14" s="455">
        <v>418.8</v>
      </c>
      <c r="AF14" s="456">
        <f t="shared" si="4"/>
        <v>13</v>
      </c>
      <c r="AG14" s="446"/>
      <c r="AH14" s="446"/>
      <c r="AI14" s="446"/>
      <c r="AJ14" s="447"/>
      <c r="AK14" s="521" t="s">
        <v>266</v>
      </c>
      <c r="AM14" s="457"/>
      <c r="AN14" s="439"/>
      <c r="AO14" s="442"/>
      <c r="AP14"/>
    </row>
    <row r="15" spans="1:42" x14ac:dyDescent="0.25">
      <c r="A15" s="468" t="s">
        <v>140</v>
      </c>
      <c r="B15" s="475" t="s">
        <v>260</v>
      </c>
      <c r="C15" s="469" t="s">
        <v>261</v>
      </c>
      <c r="D15" s="470" t="s">
        <v>1</v>
      </c>
      <c r="E15" s="476">
        <v>2</v>
      </c>
      <c r="F15" s="476">
        <v>2</v>
      </c>
      <c r="G15" s="476">
        <v>2</v>
      </c>
      <c r="H15" s="476">
        <v>2</v>
      </c>
      <c r="I15" s="477">
        <f t="shared" si="5"/>
        <v>8</v>
      </c>
      <c r="K15" s="478">
        <v>8</v>
      </c>
      <c r="L15" s="449">
        <f t="shared" si="6"/>
        <v>0</v>
      </c>
      <c r="M15" s="464">
        <f t="shared" si="7"/>
        <v>0</v>
      </c>
      <c r="O15" s="465"/>
      <c r="Q15" s="438">
        <v>69.2</v>
      </c>
      <c r="R15" s="439">
        <v>88.7</v>
      </c>
      <c r="S15" s="439">
        <v>955.2</v>
      </c>
      <c r="T15" s="439">
        <v>21.2</v>
      </c>
      <c r="U15" s="439">
        <v>158.30000000000001</v>
      </c>
      <c r="V15" s="440"/>
      <c r="W15" s="441"/>
      <c r="X15" s="439"/>
      <c r="Y15" s="442"/>
      <c r="AA15" s="467"/>
      <c r="AB15" s="444"/>
      <c r="AC15" s="452"/>
      <c r="AD15" s="453"/>
      <c r="AE15" s="446"/>
      <c r="AF15" s="446"/>
      <c r="AG15" s="446"/>
      <c r="AH15" s="446"/>
      <c r="AI15" s="446"/>
      <c r="AJ15" s="447"/>
      <c r="AK15" s="521"/>
      <c r="AM15" s="457"/>
      <c r="AN15" s="439"/>
      <c r="AO15" s="442"/>
      <c r="AP15"/>
    </row>
    <row r="16" spans="1:42" ht="15.75" thickBot="1" x14ac:dyDescent="0.3">
      <c r="A16" s="459" t="s">
        <v>143</v>
      </c>
      <c r="B16" s="479" t="s">
        <v>262</v>
      </c>
      <c r="C16" s="460" t="s">
        <v>263</v>
      </c>
      <c r="D16" s="461" t="s">
        <v>1</v>
      </c>
      <c r="E16" s="449">
        <v>1</v>
      </c>
      <c r="F16" s="449">
        <v>1</v>
      </c>
      <c r="G16" s="449">
        <v>1</v>
      </c>
      <c r="H16" s="449">
        <v>1</v>
      </c>
      <c r="I16" s="480">
        <f t="shared" si="5"/>
        <v>4</v>
      </c>
      <c r="K16" s="481">
        <v>4</v>
      </c>
      <c r="L16" s="476">
        <f t="shared" si="6"/>
        <v>0</v>
      </c>
      <c r="M16" s="474">
        <f t="shared" si="7"/>
        <v>0</v>
      </c>
      <c r="O16" s="465" t="s">
        <v>285</v>
      </c>
      <c r="Q16" s="494">
        <v>113.4</v>
      </c>
      <c r="R16" s="450">
        <v>25.4</v>
      </c>
      <c r="S16" s="450">
        <v>1040.7</v>
      </c>
      <c r="T16" s="450">
        <v>29.6</v>
      </c>
      <c r="U16" s="450">
        <v>179.4</v>
      </c>
      <c r="V16" s="495"/>
      <c r="W16" s="496"/>
      <c r="X16" s="450"/>
      <c r="Y16" s="497"/>
      <c r="AA16" s="467"/>
      <c r="AB16" s="444"/>
      <c r="AC16" s="445" t="s">
        <v>253</v>
      </c>
      <c r="AD16" s="456">
        <f t="shared" ref="AD16:AD18" si="8">$AD$4</f>
        <v>13</v>
      </c>
      <c r="AE16" s="455">
        <v>1980</v>
      </c>
      <c r="AF16" s="456">
        <f t="shared" ref="AF16:AF18" si="9">$AD$4</f>
        <v>13</v>
      </c>
      <c r="AG16" s="446"/>
      <c r="AH16" s="446"/>
      <c r="AI16" s="446"/>
      <c r="AJ16" s="447"/>
      <c r="AK16" s="521" t="s">
        <v>266</v>
      </c>
      <c r="AM16" s="457"/>
      <c r="AN16" s="439"/>
      <c r="AO16" s="442"/>
      <c r="AP16"/>
    </row>
    <row r="17" spans="1:42" ht="15.75" thickBot="1" x14ac:dyDescent="0.3">
      <c r="A17" s="398" t="s">
        <v>264</v>
      </c>
      <c r="B17" s="399"/>
      <c r="C17" s="400"/>
      <c r="D17" s="401"/>
      <c r="E17" s="402" t="s">
        <v>281</v>
      </c>
      <c r="F17" s="403" t="s">
        <v>282</v>
      </c>
      <c r="G17" s="403" t="s">
        <v>283</v>
      </c>
      <c r="H17" s="403" t="s">
        <v>284</v>
      </c>
      <c r="I17" s="404" t="s">
        <v>101</v>
      </c>
      <c r="K17" s="409" t="s">
        <v>38</v>
      </c>
      <c r="L17" s="621" t="s">
        <v>110</v>
      </c>
      <c r="M17" s="622"/>
      <c r="O17" s="458" t="s">
        <v>102</v>
      </c>
      <c r="AA17" s="467"/>
      <c r="AB17" s="444"/>
      <c r="AC17" s="445" t="s">
        <v>31</v>
      </c>
      <c r="AD17" s="456">
        <f t="shared" si="8"/>
        <v>13</v>
      </c>
      <c r="AE17" s="455">
        <v>1980</v>
      </c>
      <c r="AF17" s="456">
        <f t="shared" si="9"/>
        <v>13</v>
      </c>
      <c r="AG17" s="446"/>
      <c r="AH17" s="446"/>
      <c r="AI17" s="446"/>
      <c r="AJ17" s="447"/>
      <c r="AK17" s="521" t="s">
        <v>266</v>
      </c>
      <c r="AM17" s="457"/>
      <c r="AN17" s="439"/>
      <c r="AO17" s="442"/>
      <c r="AP17"/>
    </row>
    <row r="18" spans="1:42" ht="15.75" thickBot="1" x14ac:dyDescent="0.3">
      <c r="A18" s="482" t="s">
        <v>266</v>
      </c>
      <c r="B18" s="483" t="s">
        <v>267</v>
      </c>
      <c r="C18" s="484" t="s">
        <v>268</v>
      </c>
      <c r="D18" s="485" t="s">
        <v>1</v>
      </c>
      <c r="E18" s="486">
        <v>2</v>
      </c>
      <c r="F18" s="486">
        <v>2</v>
      </c>
      <c r="G18" s="486">
        <v>2</v>
      </c>
      <c r="H18" s="486">
        <v>2</v>
      </c>
      <c r="I18" s="487">
        <f>SUM(E18:H18)</f>
        <v>8</v>
      </c>
      <c r="K18" s="488">
        <v>8</v>
      </c>
      <c r="L18" s="486">
        <f>K18-I18</f>
        <v>0</v>
      </c>
      <c r="M18" s="489">
        <f>L18/K18</f>
        <v>0</v>
      </c>
      <c r="O18" s="490"/>
      <c r="AA18" s="443"/>
      <c r="AB18" s="444"/>
      <c r="AC18" s="445" t="s">
        <v>250</v>
      </c>
      <c r="AD18" s="456">
        <f t="shared" si="8"/>
        <v>13</v>
      </c>
      <c r="AE18" s="455">
        <v>1980</v>
      </c>
      <c r="AF18" s="456">
        <f t="shared" si="9"/>
        <v>13</v>
      </c>
      <c r="AG18" s="446"/>
      <c r="AH18" s="446"/>
      <c r="AI18" s="446"/>
      <c r="AJ18" s="447"/>
      <c r="AK18" s="521" t="s">
        <v>266</v>
      </c>
      <c r="AM18" s="457"/>
      <c r="AN18" s="439"/>
      <c r="AO18" s="442"/>
      <c r="AP18"/>
    </row>
    <row r="19" spans="1:42" ht="15.75" thickBot="1" x14ac:dyDescent="0.3">
      <c r="A19" s="398" t="s">
        <v>271</v>
      </c>
      <c r="B19" s="399"/>
      <c r="C19" s="400"/>
      <c r="D19" s="401"/>
      <c r="E19" s="402" t="s">
        <v>281</v>
      </c>
      <c r="F19" s="403" t="s">
        <v>282</v>
      </c>
      <c r="G19" s="403" t="s">
        <v>283</v>
      </c>
      <c r="H19" s="403" t="s">
        <v>284</v>
      </c>
      <c r="I19" s="404" t="s">
        <v>101</v>
      </c>
      <c r="K19" s="409" t="s">
        <v>38</v>
      </c>
      <c r="L19" s="621" t="s">
        <v>110</v>
      </c>
      <c r="M19" s="622"/>
      <c r="O19" s="458" t="s">
        <v>102</v>
      </c>
      <c r="AA19" s="443"/>
      <c r="AB19" s="444"/>
      <c r="AC19" s="452"/>
      <c r="AD19" s="453"/>
      <c r="AE19" s="453"/>
      <c r="AF19" s="453"/>
      <c r="AG19" s="453"/>
      <c r="AH19" s="453"/>
      <c r="AI19" s="453"/>
      <c r="AJ19" s="507"/>
      <c r="AK19" s="521"/>
      <c r="AM19" s="457"/>
      <c r="AN19" s="439"/>
      <c r="AO19" s="442"/>
      <c r="AP19"/>
    </row>
    <row r="20" spans="1:42" ht="15.75" thickBot="1" x14ac:dyDescent="0.3">
      <c r="A20" s="482" t="s">
        <v>272</v>
      </c>
      <c r="B20" s="483" t="s">
        <v>291</v>
      </c>
      <c r="C20" s="484" t="s">
        <v>273</v>
      </c>
      <c r="D20" s="485" t="s">
        <v>33</v>
      </c>
      <c r="E20" s="491">
        <f>E18*0.26</f>
        <v>0.52</v>
      </c>
      <c r="F20" s="491">
        <f>F18*0.26</f>
        <v>0.52</v>
      </c>
      <c r="G20" s="491">
        <f>G18*0.26</f>
        <v>0.52</v>
      </c>
      <c r="H20" s="491">
        <f>H18*0.26</f>
        <v>0.52</v>
      </c>
      <c r="I20" s="418">
        <f>SUM(E20:H20)*1.15</f>
        <v>2.3919999999999999</v>
      </c>
      <c r="K20" s="492">
        <v>2.4</v>
      </c>
      <c r="L20" s="491">
        <f>K20-I20</f>
        <v>8.0000000000000071E-3</v>
      </c>
      <c r="M20" s="493">
        <f>L20/K20</f>
        <v>3.3333333333333366E-3</v>
      </c>
      <c r="O20" s="490" t="s">
        <v>269</v>
      </c>
      <c r="AA20" s="443"/>
      <c r="AB20" s="512" t="s">
        <v>195</v>
      </c>
      <c r="AC20" s="445" t="s">
        <v>275</v>
      </c>
      <c r="AD20" s="456">
        <f t="shared" ref="AD20:AD22" si="10">$AD$4</f>
        <v>13</v>
      </c>
      <c r="AE20" s="455">
        <v>1268.9000000000001</v>
      </c>
      <c r="AF20" s="456">
        <f t="shared" ref="AF20:AF22" si="11">$AD$4</f>
        <v>13</v>
      </c>
      <c r="AG20" s="446"/>
      <c r="AH20" s="446"/>
      <c r="AI20" s="446"/>
      <c r="AJ20" s="447"/>
      <c r="AK20" s="521" t="s">
        <v>266</v>
      </c>
      <c r="AM20" s="457"/>
      <c r="AN20" s="439"/>
      <c r="AO20" s="442"/>
      <c r="AP20"/>
    </row>
    <row r="21" spans="1:42" x14ac:dyDescent="0.25">
      <c r="AA21" s="443"/>
      <c r="AB21" s="513"/>
      <c r="AC21" s="445" t="s">
        <v>31</v>
      </c>
      <c r="AD21" s="456">
        <f t="shared" si="10"/>
        <v>13</v>
      </c>
      <c r="AE21" s="455">
        <v>1268.9000000000001</v>
      </c>
      <c r="AF21" s="456">
        <f t="shared" si="11"/>
        <v>13</v>
      </c>
      <c r="AG21" s="446"/>
      <c r="AH21" s="446"/>
      <c r="AI21" s="446"/>
      <c r="AJ21" s="447"/>
      <c r="AK21" s="521" t="s">
        <v>266</v>
      </c>
      <c r="AM21" s="457"/>
      <c r="AN21" s="439"/>
      <c r="AO21" s="442"/>
      <c r="AP21"/>
    </row>
    <row r="22" spans="1:42" x14ac:dyDescent="0.25">
      <c r="AA22" s="443"/>
      <c r="AB22" s="513"/>
      <c r="AC22" s="445" t="s">
        <v>250</v>
      </c>
      <c r="AD22" s="456">
        <f t="shared" si="10"/>
        <v>13</v>
      </c>
      <c r="AE22" s="455">
        <v>1268.9000000000001</v>
      </c>
      <c r="AF22" s="456">
        <f t="shared" si="11"/>
        <v>13</v>
      </c>
      <c r="AG22" s="446"/>
      <c r="AH22" s="446"/>
      <c r="AI22" s="446"/>
      <c r="AJ22" s="447"/>
      <c r="AK22" s="521" t="s">
        <v>266</v>
      </c>
      <c r="AM22" s="457"/>
      <c r="AN22" s="439"/>
      <c r="AO22" s="442"/>
      <c r="AP22"/>
    </row>
    <row r="23" spans="1:42" x14ac:dyDescent="0.25">
      <c r="AA23" s="467"/>
      <c r="AB23" s="444"/>
      <c r="AC23" s="452"/>
      <c r="AD23" s="453"/>
      <c r="AE23" s="446"/>
      <c r="AF23" s="446"/>
      <c r="AG23" s="446"/>
      <c r="AH23" s="446"/>
      <c r="AI23" s="446"/>
      <c r="AJ23" s="447"/>
      <c r="AK23" s="521"/>
      <c r="AM23" s="457"/>
      <c r="AN23" s="439"/>
      <c r="AO23" s="442"/>
      <c r="AP23"/>
    </row>
    <row r="24" spans="1:42" x14ac:dyDescent="0.25">
      <c r="AA24" s="467"/>
      <c r="AB24" s="444"/>
      <c r="AC24" s="445" t="s">
        <v>275</v>
      </c>
      <c r="AD24" s="456">
        <f t="shared" ref="AD24:AD26" si="12">$AD$4</f>
        <v>13</v>
      </c>
      <c r="AE24" s="455">
        <v>1126.4000000000001</v>
      </c>
      <c r="AF24" s="456">
        <f t="shared" ref="AF24:AF26" si="13">$AD$4</f>
        <v>13</v>
      </c>
      <c r="AG24" s="446"/>
      <c r="AH24" s="446"/>
      <c r="AI24" s="446"/>
      <c r="AJ24" s="447"/>
      <c r="AK24" s="521" t="s">
        <v>266</v>
      </c>
      <c r="AM24" s="457"/>
      <c r="AN24" s="439"/>
      <c r="AO24" s="442"/>
      <c r="AP24"/>
    </row>
    <row r="25" spans="1:42" x14ac:dyDescent="0.25">
      <c r="AA25" s="467"/>
      <c r="AB25" s="444"/>
      <c r="AC25" s="445" t="s">
        <v>31</v>
      </c>
      <c r="AD25" s="456">
        <f t="shared" si="12"/>
        <v>13</v>
      </c>
      <c r="AE25" s="455">
        <v>1126.4000000000001</v>
      </c>
      <c r="AF25" s="456">
        <f t="shared" si="13"/>
        <v>13</v>
      </c>
      <c r="AG25" s="446"/>
      <c r="AH25" s="446"/>
      <c r="AI25" s="446"/>
      <c r="AJ25" s="447"/>
      <c r="AK25" s="521" t="s">
        <v>266</v>
      </c>
      <c r="AM25" s="457"/>
      <c r="AN25" s="439"/>
      <c r="AO25" s="442"/>
      <c r="AP25"/>
    </row>
    <row r="26" spans="1:42" x14ac:dyDescent="0.25">
      <c r="AA26" s="443"/>
      <c r="AB26" s="444"/>
      <c r="AC26" s="445" t="s">
        <v>250</v>
      </c>
      <c r="AD26" s="456">
        <f t="shared" si="12"/>
        <v>13</v>
      </c>
      <c r="AE26" s="455">
        <v>1126.4000000000001</v>
      </c>
      <c r="AF26" s="456">
        <f t="shared" si="13"/>
        <v>13</v>
      </c>
      <c r="AG26" s="446"/>
      <c r="AH26" s="446"/>
      <c r="AI26" s="446"/>
      <c r="AJ26" s="447"/>
      <c r="AK26" s="521" t="s">
        <v>266</v>
      </c>
      <c r="AM26" s="457"/>
      <c r="AN26" s="439"/>
      <c r="AO26" s="442"/>
      <c r="AP26"/>
    </row>
    <row r="27" spans="1:42" x14ac:dyDescent="0.25">
      <c r="A27" s="396"/>
      <c r="B27" s="396"/>
      <c r="AA27" s="443"/>
      <c r="AB27" s="444"/>
      <c r="AC27" s="452"/>
      <c r="AD27" s="453"/>
      <c r="AE27" s="453"/>
      <c r="AF27" s="453"/>
      <c r="AG27" s="453"/>
      <c r="AH27" s="453"/>
      <c r="AI27" s="453"/>
      <c r="AJ27" s="507"/>
      <c r="AK27" s="521"/>
      <c r="AM27" s="457"/>
      <c r="AN27" s="439"/>
      <c r="AO27" s="442"/>
      <c r="AP27"/>
    </row>
    <row r="28" spans="1:42" x14ac:dyDescent="0.25">
      <c r="A28" s="396"/>
      <c r="B28" s="396"/>
      <c r="AA28" s="443"/>
      <c r="AB28" s="512" t="s">
        <v>194</v>
      </c>
      <c r="AC28" s="445" t="s">
        <v>270</v>
      </c>
      <c r="AD28" s="456">
        <f t="shared" ref="AD28:AD30" si="14">$AD$4</f>
        <v>13</v>
      </c>
      <c r="AE28" s="455">
        <v>113.4</v>
      </c>
      <c r="AF28" s="455">
        <v>25.4</v>
      </c>
      <c r="AG28" s="455">
        <v>1040.7</v>
      </c>
      <c r="AH28" s="455">
        <v>29.6</v>
      </c>
      <c r="AI28" s="455">
        <v>179.4</v>
      </c>
      <c r="AJ28" s="518">
        <f t="shared" ref="AJ28:AJ30" si="15">$AD$4</f>
        <v>13</v>
      </c>
      <c r="AK28" s="521" t="s">
        <v>266</v>
      </c>
      <c r="AM28" s="457"/>
      <c r="AN28" s="439"/>
      <c r="AO28" s="442"/>
      <c r="AP28"/>
    </row>
    <row r="29" spans="1:42" x14ac:dyDescent="0.25">
      <c r="A29" s="396"/>
      <c r="B29" s="396"/>
      <c r="AA29" s="443"/>
      <c r="AB29" s="513"/>
      <c r="AC29" s="445" t="s">
        <v>31</v>
      </c>
      <c r="AD29" s="456">
        <f t="shared" si="14"/>
        <v>13</v>
      </c>
      <c r="AE29" s="455">
        <v>113.4</v>
      </c>
      <c r="AF29" s="455">
        <v>25.4</v>
      </c>
      <c r="AG29" s="455">
        <v>1040.7</v>
      </c>
      <c r="AH29" s="455">
        <v>29.6</v>
      </c>
      <c r="AI29" s="455">
        <v>179.4</v>
      </c>
      <c r="AJ29" s="518">
        <f t="shared" si="15"/>
        <v>13</v>
      </c>
      <c r="AK29" s="521" t="s">
        <v>266</v>
      </c>
      <c r="AM29" s="457"/>
      <c r="AN29" s="439"/>
      <c r="AO29" s="442"/>
      <c r="AP29"/>
    </row>
    <row r="30" spans="1:42" x14ac:dyDescent="0.25">
      <c r="A30" s="396"/>
      <c r="B30" s="396"/>
      <c r="AA30" s="443"/>
      <c r="AB30" s="513"/>
      <c r="AC30" s="445" t="s">
        <v>250</v>
      </c>
      <c r="AD30" s="456">
        <f t="shared" si="14"/>
        <v>13</v>
      </c>
      <c r="AE30" s="455">
        <v>113.4</v>
      </c>
      <c r="AF30" s="455">
        <v>25.4</v>
      </c>
      <c r="AG30" s="455">
        <v>1040.7</v>
      </c>
      <c r="AH30" s="455">
        <v>29.6</v>
      </c>
      <c r="AI30" s="455">
        <v>179.4</v>
      </c>
      <c r="AJ30" s="518">
        <f t="shared" si="15"/>
        <v>13</v>
      </c>
      <c r="AK30" s="521" t="s">
        <v>266</v>
      </c>
      <c r="AM30" s="457"/>
      <c r="AN30" s="439"/>
      <c r="AO30" s="442"/>
      <c r="AP30"/>
    </row>
    <row r="31" spans="1:42" x14ac:dyDescent="0.25">
      <c r="A31" s="396"/>
      <c r="B31" s="396"/>
      <c r="AA31" s="467"/>
      <c r="AB31" s="444"/>
      <c r="AC31" s="452"/>
      <c r="AD31" s="453"/>
      <c r="AE31" s="446"/>
      <c r="AF31" s="446"/>
      <c r="AG31" s="446"/>
      <c r="AH31" s="446"/>
      <c r="AI31" s="446"/>
      <c r="AJ31" s="447"/>
      <c r="AK31" s="521"/>
      <c r="AM31" s="457"/>
      <c r="AN31" s="439"/>
      <c r="AO31" s="442"/>
      <c r="AP31"/>
    </row>
    <row r="32" spans="1:42" x14ac:dyDescent="0.25">
      <c r="A32" s="396"/>
      <c r="B32" s="396"/>
      <c r="AA32" s="467"/>
      <c r="AB32" s="444"/>
      <c r="AC32" s="445" t="s">
        <v>270</v>
      </c>
      <c r="AD32" s="456">
        <f t="shared" ref="AD32:AD34" si="16">$AD$4</f>
        <v>13</v>
      </c>
      <c r="AE32" s="455">
        <v>69.2</v>
      </c>
      <c r="AF32" s="455">
        <v>88.7</v>
      </c>
      <c r="AG32" s="455">
        <v>955.2</v>
      </c>
      <c r="AH32" s="455">
        <v>21.2</v>
      </c>
      <c r="AI32" s="455">
        <v>158.30000000000001</v>
      </c>
      <c r="AJ32" s="518">
        <f t="shared" ref="AJ32:AJ34" si="17">$AD$4</f>
        <v>13</v>
      </c>
      <c r="AK32" s="521" t="s">
        <v>266</v>
      </c>
      <c r="AM32" s="457"/>
      <c r="AN32" s="439"/>
      <c r="AO32" s="442"/>
      <c r="AP32"/>
    </row>
    <row r="33" spans="1:42" x14ac:dyDescent="0.25">
      <c r="A33" s="396"/>
      <c r="B33" s="396"/>
      <c r="AA33" s="467"/>
      <c r="AB33" s="444"/>
      <c r="AC33" s="445" t="s">
        <v>31</v>
      </c>
      <c r="AD33" s="456">
        <f t="shared" si="16"/>
        <v>13</v>
      </c>
      <c r="AE33" s="455">
        <v>69.2</v>
      </c>
      <c r="AF33" s="455">
        <v>88.7</v>
      </c>
      <c r="AG33" s="455">
        <v>955.2</v>
      </c>
      <c r="AH33" s="455">
        <v>21.2</v>
      </c>
      <c r="AI33" s="455">
        <v>158.30000000000001</v>
      </c>
      <c r="AJ33" s="518">
        <f t="shared" si="17"/>
        <v>13</v>
      </c>
      <c r="AK33" s="521" t="s">
        <v>266</v>
      </c>
      <c r="AM33" s="457"/>
      <c r="AN33" s="439"/>
      <c r="AO33" s="442"/>
      <c r="AP33"/>
    </row>
    <row r="34" spans="1:42" x14ac:dyDescent="0.25">
      <c r="A34" s="396"/>
      <c r="B34" s="396"/>
      <c r="AA34" s="443"/>
      <c r="AB34" s="444"/>
      <c r="AC34" s="445" t="s">
        <v>250</v>
      </c>
      <c r="AD34" s="456">
        <f t="shared" si="16"/>
        <v>13</v>
      </c>
      <c r="AE34" s="455">
        <v>69.2</v>
      </c>
      <c r="AF34" s="455">
        <v>88.7</v>
      </c>
      <c r="AG34" s="455">
        <v>955.2</v>
      </c>
      <c r="AH34" s="455">
        <v>21.2</v>
      </c>
      <c r="AI34" s="455">
        <v>158.30000000000001</v>
      </c>
      <c r="AJ34" s="518">
        <f t="shared" si="17"/>
        <v>13</v>
      </c>
      <c r="AK34" s="521" t="s">
        <v>266</v>
      </c>
      <c r="AM34" s="457"/>
      <c r="AN34" s="439"/>
      <c r="AO34" s="442"/>
      <c r="AP34"/>
    </row>
    <row r="35" spans="1:42" x14ac:dyDescent="0.25">
      <c r="A35" s="396"/>
      <c r="B35" s="396"/>
      <c r="AA35" s="443"/>
      <c r="AB35" s="444"/>
      <c r="AC35" s="452"/>
      <c r="AD35" s="453"/>
      <c r="AE35" s="453"/>
      <c r="AF35" s="453"/>
      <c r="AG35" s="453"/>
      <c r="AH35" s="453"/>
      <c r="AI35" s="453"/>
      <c r="AJ35" s="507"/>
      <c r="AK35" s="521"/>
      <c r="AM35" s="457"/>
      <c r="AN35" s="439"/>
      <c r="AO35" s="442"/>
      <c r="AP35"/>
    </row>
    <row r="36" spans="1:42" x14ac:dyDescent="0.25">
      <c r="A36" s="396"/>
      <c r="B36" s="396"/>
      <c r="AA36" s="498" t="s">
        <v>278</v>
      </c>
      <c r="AB36" s="499" t="s">
        <v>279</v>
      </c>
      <c r="AC36" s="500" t="s">
        <v>33</v>
      </c>
      <c r="AD36" s="501"/>
      <c r="AE36" s="502"/>
      <c r="AF36" s="502"/>
      <c r="AG36" s="502"/>
      <c r="AH36" s="502"/>
      <c r="AI36" s="502"/>
      <c r="AJ36" s="503"/>
      <c r="AK36" s="522"/>
      <c r="AM36" s="504"/>
      <c r="AN36" s="471"/>
      <c r="AO36" s="505"/>
      <c r="AP36"/>
    </row>
    <row r="37" spans="1:42" x14ac:dyDescent="0.25">
      <c r="A37" s="396"/>
      <c r="B37" s="396"/>
      <c r="AA37" s="443"/>
      <c r="AB37" s="512" t="s">
        <v>195</v>
      </c>
      <c r="AC37" s="452"/>
      <c r="AD37" s="453"/>
      <c r="AE37" s="453"/>
      <c r="AF37" s="453"/>
      <c r="AG37" s="453"/>
      <c r="AH37" s="453"/>
      <c r="AI37" s="453"/>
      <c r="AJ37" s="507"/>
      <c r="AK37" s="521"/>
      <c r="AM37" s="441"/>
      <c r="AN37" s="439"/>
      <c r="AO37" s="442"/>
      <c r="AP37"/>
    </row>
    <row r="38" spans="1:42" x14ac:dyDescent="0.25">
      <c r="A38" s="396"/>
      <c r="B38" s="396"/>
      <c r="AA38" s="514" t="s">
        <v>296</v>
      </c>
      <c r="AB38" s="444"/>
      <c r="AC38" s="445" t="s">
        <v>245</v>
      </c>
      <c r="AD38" s="456">
        <f t="shared" ref="AD38:AD40" si="18">$AD$4</f>
        <v>13</v>
      </c>
      <c r="AE38" s="455">
        <v>96.4</v>
      </c>
      <c r="AF38" s="455">
        <v>64.900000000000006</v>
      </c>
      <c r="AG38" s="455">
        <v>1283.8</v>
      </c>
      <c r="AH38" s="455">
        <v>109.9</v>
      </c>
      <c r="AI38" s="455">
        <v>1851.9</v>
      </c>
      <c r="AJ38" s="518">
        <f t="shared" ref="AJ38:AJ40" si="19">$AD$4</f>
        <v>13</v>
      </c>
      <c r="AK38" s="521" t="s">
        <v>294</v>
      </c>
      <c r="AM38" s="441"/>
      <c r="AN38" s="439"/>
      <c r="AO38" s="442"/>
      <c r="AP38"/>
    </row>
    <row r="39" spans="1:42" x14ac:dyDescent="0.25">
      <c r="A39" s="396"/>
      <c r="B39" s="396"/>
      <c r="AA39" s="514" t="s">
        <v>292</v>
      </c>
      <c r="AB39" s="444"/>
      <c r="AC39" s="445" t="s">
        <v>31</v>
      </c>
      <c r="AD39" s="456">
        <f t="shared" si="18"/>
        <v>13</v>
      </c>
      <c r="AE39" s="455">
        <v>96.4</v>
      </c>
      <c r="AF39" s="455">
        <v>64.900000000000006</v>
      </c>
      <c r="AG39" s="455">
        <v>1283.8</v>
      </c>
      <c r="AH39" s="455">
        <v>109.9</v>
      </c>
      <c r="AI39" s="455">
        <v>1851.9</v>
      </c>
      <c r="AJ39" s="518">
        <f t="shared" si="19"/>
        <v>13</v>
      </c>
      <c r="AK39" s="521" t="s">
        <v>294</v>
      </c>
      <c r="AM39" s="457"/>
      <c r="AN39" s="439"/>
      <c r="AO39" s="442"/>
      <c r="AP39"/>
    </row>
    <row r="40" spans="1:42" ht="15.75" thickBot="1" x14ac:dyDescent="0.3">
      <c r="A40" s="396"/>
      <c r="B40" s="396"/>
      <c r="AA40" s="508"/>
      <c r="AB40" s="509"/>
      <c r="AC40" s="515" t="s">
        <v>250</v>
      </c>
      <c r="AD40" s="516">
        <f t="shared" si="18"/>
        <v>13</v>
      </c>
      <c r="AE40" s="517">
        <v>96.4</v>
      </c>
      <c r="AF40" s="517">
        <v>64.900000000000006</v>
      </c>
      <c r="AG40" s="517">
        <v>1283.8</v>
      </c>
      <c r="AH40" s="517">
        <v>109.9</v>
      </c>
      <c r="AI40" s="517">
        <v>1851.9</v>
      </c>
      <c r="AJ40" s="519">
        <f t="shared" si="19"/>
        <v>13</v>
      </c>
      <c r="AK40" s="523" t="s">
        <v>294</v>
      </c>
      <c r="AM40" s="510"/>
      <c r="AN40" s="450"/>
      <c r="AO40" s="497"/>
      <c r="AP40"/>
    </row>
    <row r="41" spans="1:42" x14ac:dyDescent="0.25">
      <c r="A41" s="396"/>
      <c r="B41" s="396"/>
      <c r="AP41"/>
    </row>
    <row r="42" spans="1:42" x14ac:dyDescent="0.25">
      <c r="B42" s="396"/>
      <c r="AA42"/>
      <c r="AB42" t="s">
        <v>246</v>
      </c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  <row r="43" spans="1:42" ht="15.75" thickBot="1" x14ac:dyDescent="0.3">
      <c r="B43" s="396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</row>
    <row r="44" spans="1:42" x14ac:dyDescent="0.25">
      <c r="B44" s="395"/>
      <c r="AA44"/>
      <c r="AB44" s="524" t="s">
        <v>277</v>
      </c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 ht="15.75" thickBot="1" x14ac:dyDescent="0.3">
      <c r="B45" s="395"/>
      <c r="AA45"/>
      <c r="AB45" s="506" t="s">
        <v>280</v>
      </c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</row>
    <row r="46" spans="1:42" x14ac:dyDescent="0.25">
      <c r="B46" s="395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</row>
    <row r="47" spans="1:42" x14ac:dyDescent="0.25">
      <c r="B47" s="395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</row>
    <row r="48" spans="1:42" x14ac:dyDescent="0.25">
      <c r="B48" s="395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</row>
    <row r="49" spans="2:44" x14ac:dyDescent="0.25">
      <c r="B49" s="395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2:44" x14ac:dyDescent="0.25">
      <c r="B50" s="395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2:44" x14ac:dyDescent="0.25">
      <c r="B51" s="395"/>
      <c r="AP51"/>
    </row>
    <row r="52" spans="2:44" x14ac:dyDescent="0.25">
      <c r="B52" s="395"/>
      <c r="AP52"/>
    </row>
    <row r="53" spans="2:44" x14ac:dyDescent="0.25">
      <c r="AP53"/>
    </row>
    <row r="55" spans="2:44" x14ac:dyDescent="0.25">
      <c r="AP55"/>
      <c r="AQ55"/>
    </row>
    <row r="56" spans="2:44" x14ac:dyDescent="0.25">
      <c r="AP56"/>
      <c r="AQ56"/>
    </row>
    <row r="57" spans="2:44" x14ac:dyDescent="0.25">
      <c r="AP57"/>
      <c r="AQ57"/>
    </row>
    <row r="61" spans="2:44" x14ac:dyDescent="0.25">
      <c r="AR61"/>
    </row>
    <row r="62" spans="2:44" x14ac:dyDescent="0.25">
      <c r="AR62"/>
    </row>
    <row r="63" spans="2:44" x14ac:dyDescent="0.25">
      <c r="AR63"/>
    </row>
  </sheetData>
  <mergeCells count="6">
    <mergeCell ref="L19:M19"/>
    <mergeCell ref="X2:Y2"/>
    <mergeCell ref="AN2:AO2"/>
    <mergeCell ref="L9:M9"/>
    <mergeCell ref="L12:M12"/>
    <mergeCell ref="L17:M17"/>
  </mergeCells>
  <conditionalFormatting sqref="L13:M13 AN3:AO3">
    <cfRule type="cellIs" dxfId="8" priority="42" operator="equal">
      <formula>0</formula>
    </cfRule>
  </conditionalFormatting>
  <conditionalFormatting sqref="L18:M18">
    <cfRule type="cellIs" dxfId="7" priority="41" operator="equal">
      <formula>0</formula>
    </cfRule>
  </conditionalFormatting>
  <conditionalFormatting sqref="L20:M20 L10:M11">
    <cfRule type="cellIs" dxfId="6" priority="38" operator="equal">
      <formula>0</formula>
    </cfRule>
  </conditionalFormatting>
  <conditionalFormatting sqref="L15:M15">
    <cfRule type="cellIs" dxfId="5" priority="27" operator="equal">
      <formula>0</formula>
    </cfRule>
  </conditionalFormatting>
  <conditionalFormatting sqref="L15:M15">
    <cfRule type="cellIs" dxfId="4" priority="26" operator="equal">
      <formula>0</formula>
    </cfRule>
  </conditionalFormatting>
  <conditionalFormatting sqref="L16:M16">
    <cfRule type="cellIs" dxfId="3" priority="25" operator="equal">
      <formula>0</formula>
    </cfRule>
  </conditionalFormatting>
  <conditionalFormatting sqref="L14:M14">
    <cfRule type="cellIs" dxfId="2" priority="29" operator="equal">
      <formula>0</formula>
    </cfRule>
  </conditionalFormatting>
  <conditionalFormatting sqref="L15:M15">
    <cfRule type="cellIs" dxfId="1" priority="28" operator="equal">
      <formula>0</formula>
    </cfRule>
  </conditionalFormatting>
  <conditionalFormatting sqref="X3:Y3">
    <cfRule type="cellIs" dxfId="0" priority="2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5</vt:i4>
      </vt:variant>
    </vt:vector>
  </HeadingPairs>
  <TitlesOfParts>
    <vt:vector size="5" baseType="lpstr">
      <vt:lpstr>ARQ</vt:lpstr>
      <vt:lpstr>Outros</vt:lpstr>
      <vt:lpstr>AF</vt:lpstr>
      <vt:lpstr>ESG</vt:lpstr>
      <vt:lpstr>ELET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2023-02-27T17:51:02Z</dcterms:modified>
</cp:coreProperties>
</file>